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usiness Finance\Board Reports\BOT reports\Presented in FY 16-17\JUNE 2017\"/>
    </mc:Choice>
  </mc:AlternateContent>
  <bookViews>
    <workbookView xWindow="360" yWindow="315" windowWidth="14880" windowHeight="7815" activeTab="1"/>
  </bookViews>
  <sheets>
    <sheet name="FY2010" sheetId="1" r:id="rId1"/>
    <sheet name="FY2013" sheetId="2" r:id="rId2"/>
    <sheet name="Allocation trends" sheetId="4" r:id="rId3"/>
    <sheet name="Revenue Trend data" sheetId="6" r:id="rId4"/>
    <sheet name="Sheet4" sheetId="7" r:id="rId5"/>
    <sheet name="Sheet5" sheetId="8" r:id="rId6"/>
    <sheet name="SF ratio FTES FTEF trends" sheetId="5" r:id="rId7"/>
    <sheet name="Tuition and cost rec detail" sheetId="3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xlnm.Print_Area" localSheetId="0">'FY2010'!$A$1:$J$39</definedName>
    <definedName name="_xlnm.Print_Area" localSheetId="1">'FY2013'!$A$1:$AH$46</definedName>
  </definedNames>
  <calcPr calcId="152511"/>
</workbook>
</file>

<file path=xl/calcChain.xml><?xml version="1.0" encoding="utf-8"?>
<calcChain xmlns="http://schemas.openxmlformats.org/spreadsheetml/2006/main">
  <c r="AF14" i="2" l="1"/>
  <c r="AL24" i="2"/>
  <c r="AF24" i="2"/>
  <c r="AJ10" i="2" l="1"/>
  <c r="AJ11" i="2"/>
  <c r="AJ12" i="2"/>
  <c r="AJ13" i="2"/>
  <c r="AJ14" i="2"/>
  <c r="AJ15" i="2"/>
  <c r="AJ16" i="2"/>
  <c r="AJ18" i="2"/>
  <c r="AJ19" i="2"/>
  <c r="AJ9" i="2"/>
  <c r="AG43" i="2"/>
  <c r="AG42" i="2"/>
  <c r="AG41" i="2"/>
  <c r="AG40" i="2"/>
  <c r="AG39" i="2"/>
  <c r="AG38" i="2"/>
  <c r="AG37" i="2"/>
  <c r="AG36" i="2"/>
  <c r="AG32" i="2"/>
  <c r="AG31" i="2"/>
  <c r="AG30" i="2"/>
  <c r="AG29" i="2"/>
  <c r="AG24" i="2"/>
  <c r="AG23" i="2"/>
  <c r="AG18" i="2"/>
  <c r="AG13" i="2"/>
  <c r="AG9" i="2"/>
  <c r="AF13" i="2"/>
  <c r="AC18" i="2"/>
  <c r="AC19" i="2"/>
  <c r="AF9" i="2" l="1"/>
  <c r="AF33" i="2"/>
  <c r="AG33" i="2" s="1"/>
  <c r="AG16" i="2"/>
  <c r="AG15" i="2"/>
  <c r="AG25" i="2" l="1"/>
  <c r="AF26" i="2"/>
  <c r="AG26" i="2" s="1"/>
  <c r="AF44" i="2"/>
  <c r="AG44" i="2" s="1"/>
  <c r="J9" i="6" l="1"/>
  <c r="F9" i="6"/>
  <c r="E9" i="6"/>
  <c r="D9" i="6"/>
  <c r="C9" i="6"/>
  <c r="K8" i="6"/>
  <c r="J8" i="6"/>
  <c r="I8" i="6"/>
  <c r="H8" i="6"/>
  <c r="G8" i="6"/>
  <c r="F8" i="6"/>
  <c r="E8" i="6"/>
  <c r="C8" i="6"/>
  <c r="K7" i="6"/>
  <c r="J7" i="6"/>
  <c r="I7" i="6"/>
  <c r="H7" i="6"/>
  <c r="G7" i="6"/>
  <c r="F7" i="6"/>
  <c r="E7" i="6"/>
  <c r="D7" i="6"/>
  <c r="C7" i="6"/>
  <c r="J6" i="6"/>
  <c r="I6" i="6"/>
  <c r="H6" i="6"/>
  <c r="F6" i="6"/>
  <c r="E6" i="6"/>
  <c r="E10" i="6" l="1"/>
  <c r="J10" i="6"/>
  <c r="F10" i="6"/>
  <c r="AC44" i="2"/>
  <c r="AC33" i="2"/>
  <c r="AC26" i="2"/>
  <c r="AD13" i="2"/>
  <c r="AD15" i="2"/>
  <c r="AD16" i="2"/>
  <c r="AD18" i="2"/>
  <c r="AD9" i="2"/>
  <c r="Z17" i="2"/>
  <c r="Z20" i="2" s="1"/>
  <c r="AB13" i="2" l="1"/>
  <c r="AB17" i="2"/>
  <c r="AB16" i="2"/>
  <c r="AB12" i="2"/>
  <c r="AB15" i="2"/>
  <c r="AB11" i="2"/>
  <c r="AB9" i="2"/>
  <c r="AB14" i="2"/>
  <c r="AA14" i="2"/>
  <c r="AA15" i="2"/>
  <c r="AA16" i="2"/>
  <c r="AA18" i="2"/>
  <c r="AA9" i="2"/>
  <c r="X14" i="2"/>
  <c r="X15" i="2"/>
  <c r="X16" i="2"/>
  <c r="X18" i="2"/>
  <c r="X9" i="2"/>
  <c r="U15" i="2"/>
  <c r="U16" i="2"/>
  <c r="U18" i="2"/>
  <c r="Q9" i="2"/>
  <c r="U9" i="2" s="1"/>
  <c r="N9" i="2"/>
  <c r="K9" i="2"/>
  <c r="H9" i="2"/>
  <c r="F9" i="2"/>
  <c r="N17" i="2"/>
  <c r="Z44" i="2" l="1"/>
  <c r="W44" i="2"/>
  <c r="X44" i="2" s="1"/>
  <c r="T44" i="2"/>
  <c r="AA44" i="2" l="1"/>
  <c r="AD44" i="2"/>
  <c r="Z33" i="2"/>
  <c r="W33" i="2"/>
  <c r="T33" i="2"/>
  <c r="Z25" i="2"/>
  <c r="Z26" i="2" s="1"/>
  <c r="T25" i="2"/>
  <c r="T26" i="2" s="1"/>
  <c r="W25" i="2"/>
  <c r="W26" i="2" s="1"/>
  <c r="AA26" i="2" l="1"/>
  <c r="AD26" i="2"/>
  <c r="AB26" i="2"/>
  <c r="Z46" i="2"/>
  <c r="X26" i="2"/>
  <c r="X33" i="2"/>
  <c r="AD33" i="2"/>
  <c r="AA33" i="2"/>
  <c r="L5" i="5"/>
  <c r="L6" i="5"/>
  <c r="L7" i="5"/>
  <c r="L8" i="5"/>
  <c r="L10" i="5"/>
  <c r="L11" i="5"/>
  <c r="L12" i="5"/>
  <c r="L13" i="5"/>
  <c r="L14" i="5"/>
  <c r="L16" i="5"/>
  <c r="L17" i="5"/>
  <c r="L18" i="5"/>
  <c r="L19" i="5"/>
  <c r="L20" i="5"/>
  <c r="L22" i="5"/>
  <c r="L23" i="5"/>
  <c r="L24" i="5"/>
  <c r="L25" i="5"/>
  <c r="L26" i="5"/>
  <c r="L4" i="5"/>
  <c r="AB20" i="2" l="1"/>
  <c r="AB46" i="2"/>
  <c r="AB44" i="2"/>
  <c r="AB33" i="2"/>
  <c r="C7" i="4"/>
  <c r="I32" i="4" l="1"/>
  <c r="I27" i="4"/>
  <c r="I22" i="4"/>
  <c r="I17" i="4"/>
  <c r="I12" i="4"/>
  <c r="I7" i="4"/>
  <c r="K7" i="4" s="1"/>
  <c r="I29" i="4"/>
  <c r="I24" i="4"/>
  <c r="I19" i="4"/>
  <c r="I14" i="4"/>
  <c r="I9" i="4"/>
  <c r="I4" i="4"/>
  <c r="G32" i="4" l="1"/>
  <c r="G27" i="4"/>
  <c r="G22" i="4"/>
  <c r="G17" i="4"/>
  <c r="G12" i="4"/>
  <c r="G7" i="4"/>
  <c r="G29" i="4"/>
  <c r="G24" i="4"/>
  <c r="G19" i="4"/>
  <c r="G14" i="4"/>
  <c r="G9" i="4"/>
  <c r="G4" i="4"/>
  <c r="E32" i="4" l="1"/>
  <c r="E31" i="4"/>
  <c r="E30" i="4"/>
  <c r="E29" i="4"/>
  <c r="E27" i="4"/>
  <c r="E26" i="4"/>
  <c r="E25" i="4"/>
  <c r="E24" i="4"/>
  <c r="E22" i="4"/>
  <c r="E21" i="4"/>
  <c r="E20" i="4"/>
  <c r="E19" i="4"/>
  <c r="E17" i="4"/>
  <c r="E16" i="4"/>
  <c r="E15" i="4"/>
  <c r="E14" i="4"/>
  <c r="E12" i="4"/>
  <c r="E11" i="4"/>
  <c r="E10" i="4"/>
  <c r="E9" i="4"/>
  <c r="E7" i="4"/>
  <c r="E6" i="4"/>
  <c r="E5" i="4"/>
  <c r="E4" i="4"/>
  <c r="C32" i="4" l="1"/>
  <c r="C31" i="4"/>
  <c r="K31" i="4" s="1"/>
  <c r="C30" i="4"/>
  <c r="K30" i="4" s="1"/>
  <c r="C27" i="4"/>
  <c r="K27" i="4" s="1"/>
  <c r="C26" i="4"/>
  <c r="K26" i="4" s="1"/>
  <c r="C25" i="4"/>
  <c r="K25" i="4" s="1"/>
  <c r="C22" i="4"/>
  <c r="K22" i="4" s="1"/>
  <c r="C21" i="4"/>
  <c r="K21" i="4" s="1"/>
  <c r="C20" i="4"/>
  <c r="K20" i="4" s="1"/>
  <c r="C17" i="4"/>
  <c r="K17" i="4" s="1"/>
  <c r="C16" i="4"/>
  <c r="K16" i="4" s="1"/>
  <c r="C15" i="4"/>
  <c r="K15" i="4" s="1"/>
  <c r="C12" i="4"/>
  <c r="K12" i="4" s="1"/>
  <c r="C11" i="4"/>
  <c r="K11" i="4" s="1"/>
  <c r="C10" i="4"/>
  <c r="K10" i="4" s="1"/>
  <c r="C6" i="4"/>
  <c r="K6" i="4" s="1"/>
  <c r="C5" i="4"/>
  <c r="K5" i="4" s="1"/>
  <c r="C29" i="4"/>
  <c r="K29" i="4" s="1"/>
  <c r="C24" i="4"/>
  <c r="K24" i="4" s="1"/>
  <c r="C19" i="4"/>
  <c r="K19" i="4" s="1"/>
  <c r="C14" i="4"/>
  <c r="K14" i="4" s="1"/>
  <c r="C9" i="4"/>
  <c r="K9" i="4" s="1"/>
  <c r="C4" i="4"/>
  <c r="K4" i="4" s="1"/>
  <c r="W13" i="2" l="1"/>
  <c r="W12" i="2"/>
  <c r="W11" i="2"/>
  <c r="T13" i="2"/>
  <c r="T12" i="2"/>
  <c r="T11" i="2"/>
  <c r="Q13" i="2"/>
  <c r="Q12" i="2"/>
  <c r="Q11" i="2"/>
  <c r="H98" i="3"/>
  <c r="G98" i="3"/>
  <c r="F98" i="3"/>
  <c r="E98" i="3"/>
  <c r="H88" i="3"/>
  <c r="F88" i="3"/>
  <c r="E88" i="3"/>
  <c r="G84" i="3"/>
  <c r="G88" i="3" s="1"/>
  <c r="H79" i="3"/>
  <c r="G79" i="3"/>
  <c r="F79" i="3"/>
  <c r="E79" i="3"/>
  <c r="H70" i="3"/>
  <c r="G70" i="3"/>
  <c r="F70" i="3"/>
  <c r="E70" i="3"/>
  <c r="H60" i="3"/>
  <c r="G60" i="3"/>
  <c r="F60" i="3"/>
  <c r="E60" i="3"/>
  <c r="H51" i="3"/>
  <c r="G51" i="3"/>
  <c r="F51" i="3"/>
  <c r="E51" i="3"/>
  <c r="H40" i="3"/>
  <c r="G40" i="3"/>
  <c r="F40" i="3"/>
  <c r="E40" i="3"/>
  <c r="H29" i="3"/>
  <c r="G29" i="3"/>
  <c r="F29" i="3"/>
  <c r="E29" i="3"/>
  <c r="H21" i="3"/>
  <c r="G21" i="3"/>
  <c r="F21" i="3"/>
  <c r="E21" i="3"/>
  <c r="H11" i="3"/>
  <c r="G11" i="3"/>
  <c r="F11" i="3"/>
  <c r="E11" i="3"/>
  <c r="H10" i="3"/>
  <c r="G10" i="3"/>
  <c r="F10" i="3"/>
  <c r="E10" i="3"/>
  <c r="H9" i="3"/>
  <c r="G9" i="3"/>
  <c r="F9" i="3"/>
  <c r="E9" i="3"/>
  <c r="H8" i="3"/>
  <c r="H13" i="3" s="1"/>
  <c r="H31" i="3" s="1"/>
  <c r="G8" i="3"/>
  <c r="G13" i="3" s="1"/>
  <c r="G31" i="3" s="1"/>
  <c r="F8" i="3"/>
  <c r="F13" i="3" s="1"/>
  <c r="F31" i="3" s="1"/>
  <c r="E8" i="3"/>
  <c r="E13" i="3" s="1"/>
  <c r="E31" i="3" s="1"/>
  <c r="G9" i="6" l="1"/>
  <c r="H9" i="6"/>
  <c r="H10" i="6" s="1"/>
  <c r="I9" i="6"/>
  <c r="I10" i="6" s="1"/>
  <c r="U13" i="2"/>
  <c r="U12" i="2"/>
  <c r="AL11" i="2"/>
  <c r="W17" i="2"/>
  <c r="Y12" i="2" s="1"/>
  <c r="AA11" i="2"/>
  <c r="X11" i="2"/>
  <c r="T17" i="2"/>
  <c r="V11" i="2"/>
  <c r="U11" i="2"/>
  <c r="AL12" i="2"/>
  <c r="X12" i="2"/>
  <c r="AA12" i="2"/>
  <c r="AA13" i="2"/>
  <c r="X13" i="2"/>
  <c r="F25" i="2"/>
  <c r="H25" i="2"/>
  <c r="K25" i="2"/>
  <c r="N25" i="2"/>
  <c r="Q25" i="2"/>
  <c r="Y13" i="2" l="1"/>
  <c r="AL13" i="2"/>
  <c r="AM12" i="2" s="1"/>
  <c r="AC12" i="2" s="1"/>
  <c r="AF12" i="2" s="1"/>
  <c r="W20" i="2"/>
  <c r="Y14" i="2"/>
  <c r="Y15" i="2"/>
  <c r="Y16" i="2"/>
  <c r="Y17" i="2"/>
  <c r="Y9" i="2"/>
  <c r="X17" i="2"/>
  <c r="AA17" i="2"/>
  <c r="V12" i="2"/>
  <c r="V14" i="2"/>
  <c r="V9" i="2"/>
  <c r="V17" i="2"/>
  <c r="T20" i="2"/>
  <c r="Y11" i="2"/>
  <c r="V13" i="2"/>
  <c r="R36" i="2"/>
  <c r="R37" i="2"/>
  <c r="O36" i="2"/>
  <c r="O37" i="2"/>
  <c r="L36" i="2"/>
  <c r="L37" i="2"/>
  <c r="AG12" i="2" l="1"/>
  <c r="T46" i="2"/>
  <c r="AD12" i="2"/>
  <c r="W46" i="2"/>
  <c r="X20" i="2"/>
  <c r="AA20" i="2"/>
  <c r="AM11" i="2"/>
  <c r="AC11" i="2" s="1"/>
  <c r="Q44" i="2"/>
  <c r="Q33" i="2"/>
  <c r="Q26" i="2"/>
  <c r="K9" i="6" l="1"/>
  <c r="AF11" i="2"/>
  <c r="AC14" i="2"/>
  <c r="AG14" i="2" s="1"/>
  <c r="Y46" i="2"/>
  <c r="X46" i="2"/>
  <c r="Y33" i="2"/>
  <c r="Y44" i="2"/>
  <c r="Y26" i="2"/>
  <c r="AA46" i="2"/>
  <c r="V46" i="2"/>
  <c r="V44" i="2"/>
  <c r="V33" i="2"/>
  <c r="V26" i="2"/>
  <c r="Y20" i="2"/>
  <c r="V20" i="2"/>
  <c r="AD11" i="2"/>
  <c r="K26" i="2"/>
  <c r="Q14" i="2"/>
  <c r="N44" i="2"/>
  <c r="K44" i="2"/>
  <c r="N33" i="2"/>
  <c r="N26" i="2"/>
  <c r="K33" i="2"/>
  <c r="AC17" i="2" l="1"/>
  <c r="AE11" i="2" s="1"/>
  <c r="AG11" i="2"/>
  <c r="K6" i="6"/>
  <c r="K10" i="6" s="1"/>
  <c r="AD14" i="2"/>
  <c r="AF17" i="2"/>
  <c r="Q17" i="2"/>
  <c r="U17" i="2" s="1"/>
  <c r="G6" i="6"/>
  <c r="G10" i="6" s="1"/>
  <c r="U14" i="2"/>
  <c r="AC20" i="2"/>
  <c r="AD17" i="2"/>
  <c r="AE13" i="2"/>
  <c r="AE16" i="2"/>
  <c r="AE14" i="2"/>
  <c r="AE15" i="2"/>
  <c r="AE17" i="2"/>
  <c r="AE9" i="2"/>
  <c r="AE12" i="2"/>
  <c r="L19" i="2"/>
  <c r="K17" i="2"/>
  <c r="R44" i="2"/>
  <c r="R43" i="2"/>
  <c r="R42" i="2"/>
  <c r="R41" i="2"/>
  <c r="R40" i="2"/>
  <c r="R39" i="2"/>
  <c r="R38" i="2"/>
  <c r="R33" i="2"/>
  <c r="R32" i="2"/>
  <c r="R30" i="2"/>
  <c r="R29" i="2"/>
  <c r="R26" i="2"/>
  <c r="R25" i="2"/>
  <c r="R24" i="2"/>
  <c r="R23" i="2"/>
  <c r="R18" i="2"/>
  <c r="R16" i="2"/>
  <c r="R15" i="2"/>
  <c r="R14" i="2"/>
  <c r="R9" i="2"/>
  <c r="O44" i="2"/>
  <c r="O43" i="2"/>
  <c r="O42" i="2"/>
  <c r="O41" i="2"/>
  <c r="O40" i="2"/>
  <c r="O39" i="2"/>
  <c r="O38" i="2"/>
  <c r="O33" i="2"/>
  <c r="O32" i="2"/>
  <c r="O30" i="2"/>
  <c r="O29" i="2"/>
  <c r="O26" i="2"/>
  <c r="O25" i="2"/>
  <c r="O24" i="2"/>
  <c r="O23" i="2"/>
  <c r="O19" i="2"/>
  <c r="O18" i="2"/>
  <c r="O16" i="2"/>
  <c r="O15" i="2"/>
  <c r="O14" i="2"/>
  <c r="O10" i="2"/>
  <c r="O9" i="2"/>
  <c r="L23" i="2"/>
  <c r="L18" i="2"/>
  <c r="L16" i="2"/>
  <c r="L15" i="2"/>
  <c r="L10" i="2"/>
  <c r="L9" i="2"/>
  <c r="I23" i="2"/>
  <c r="I19" i="2"/>
  <c r="I16" i="2"/>
  <c r="I15" i="2"/>
  <c r="I10" i="2"/>
  <c r="I9" i="2"/>
  <c r="F43" i="2"/>
  <c r="F44" i="2" s="1"/>
  <c r="H42" i="2"/>
  <c r="L42" i="2" s="1"/>
  <c r="H41" i="2"/>
  <c r="H40" i="2"/>
  <c r="L40" i="2" s="1"/>
  <c r="H39" i="2"/>
  <c r="L39" i="2" s="1"/>
  <c r="H38" i="2"/>
  <c r="I38" i="2" s="1"/>
  <c r="F33" i="2"/>
  <c r="H32" i="2"/>
  <c r="L32" i="2" s="1"/>
  <c r="H30" i="2"/>
  <c r="L30" i="2" s="1"/>
  <c r="H29" i="2"/>
  <c r="L29" i="2" s="1"/>
  <c r="F26" i="2"/>
  <c r="L25" i="2"/>
  <c r="L24" i="2"/>
  <c r="F18" i="2"/>
  <c r="F14" i="2"/>
  <c r="C6" i="6" s="1"/>
  <c r="C10" i="6" s="1"/>
  <c r="H14" i="2"/>
  <c r="D6" i="6" s="1"/>
  <c r="H36" i="1"/>
  <c r="AH11" i="2" l="1"/>
  <c r="AJ17" i="2"/>
  <c r="AH16" i="2"/>
  <c r="AG17" i="2"/>
  <c r="AH17" i="2"/>
  <c r="AH13" i="2"/>
  <c r="AH10" i="2"/>
  <c r="AH9" i="2"/>
  <c r="AH15" i="2"/>
  <c r="AH14" i="2"/>
  <c r="AH12" i="2"/>
  <c r="AF20" i="2"/>
  <c r="L41" i="2"/>
  <c r="D8" i="6"/>
  <c r="D10" i="6" s="1"/>
  <c r="S14" i="2"/>
  <c r="AD20" i="2"/>
  <c r="AC46" i="2"/>
  <c r="O17" i="2"/>
  <c r="R17" i="2"/>
  <c r="H43" i="2"/>
  <c r="L43" i="2" s="1"/>
  <c r="F17" i="2"/>
  <c r="G14" i="2" s="1"/>
  <c r="K20" i="2"/>
  <c r="K46" i="2" s="1"/>
  <c r="M44" i="2" s="1"/>
  <c r="M14" i="2"/>
  <c r="M9" i="2"/>
  <c r="M10" i="2"/>
  <c r="M15" i="2"/>
  <c r="M16" i="2"/>
  <c r="P14" i="2"/>
  <c r="P10" i="2"/>
  <c r="P16" i="2"/>
  <c r="P15" i="2"/>
  <c r="P9" i="2"/>
  <c r="N20" i="2"/>
  <c r="N46" i="2" s="1"/>
  <c r="P33" i="2" s="1"/>
  <c r="Q20" i="2"/>
  <c r="U20" i="2" s="1"/>
  <c r="S9" i="2"/>
  <c r="S16" i="2"/>
  <c r="S15" i="2"/>
  <c r="I14" i="2"/>
  <c r="L14" i="2"/>
  <c r="L38" i="2"/>
  <c r="I18" i="2"/>
  <c r="I24" i="2"/>
  <c r="I30" i="2"/>
  <c r="I39" i="2"/>
  <c r="I41" i="2"/>
  <c r="I25" i="2"/>
  <c r="I29" i="2"/>
  <c r="I32" i="2"/>
  <c r="I40" i="2"/>
  <c r="I42" i="2"/>
  <c r="H33" i="2"/>
  <c r="H17" i="2"/>
  <c r="J14" i="2" s="1"/>
  <c r="H26" i="2"/>
  <c r="M18" i="1"/>
  <c r="M17" i="1"/>
  <c r="F35" i="1"/>
  <c r="J35" i="1" s="1"/>
  <c r="H14" i="1"/>
  <c r="J14" i="1" s="1"/>
  <c r="F10" i="1"/>
  <c r="H10" i="1"/>
  <c r="H13" i="1" s="1"/>
  <c r="H16" i="1" s="1"/>
  <c r="M16" i="1" s="1"/>
  <c r="F13" i="1"/>
  <c r="J11" i="1"/>
  <c r="F31" i="1"/>
  <c r="F21" i="1"/>
  <c r="H37" i="1"/>
  <c r="F32" i="1"/>
  <c r="J32" i="1" s="1"/>
  <c r="F34" i="1"/>
  <c r="J34" i="1" s="1"/>
  <c r="F20" i="1"/>
  <c r="AL25" i="2" l="1"/>
  <c r="AJ20" i="2"/>
  <c r="AJ23" i="2" s="1"/>
  <c r="AG20" i="2"/>
  <c r="AF46" i="2"/>
  <c r="AG46" i="2" s="1"/>
  <c r="AL20" i="2"/>
  <c r="AE20" i="2"/>
  <c r="AD46" i="2"/>
  <c r="AE26" i="2"/>
  <c r="AE33" i="2"/>
  <c r="AE44" i="2"/>
  <c r="AE46" i="2"/>
  <c r="H44" i="2"/>
  <c r="I43" i="2"/>
  <c r="M20" i="2"/>
  <c r="P44" i="2"/>
  <c r="M26" i="2"/>
  <c r="O20" i="2"/>
  <c r="P20" i="2"/>
  <c r="M17" i="2"/>
  <c r="M33" i="2"/>
  <c r="Q46" i="2"/>
  <c r="S20" i="2" s="1"/>
  <c r="R20" i="2"/>
  <c r="F20" i="2"/>
  <c r="G10" i="2"/>
  <c r="G16" i="2"/>
  <c r="G9" i="2"/>
  <c r="G15" i="2"/>
  <c r="P26" i="2"/>
  <c r="O46" i="2"/>
  <c r="P17" i="2"/>
  <c r="S17" i="2"/>
  <c r="J16" i="2"/>
  <c r="J9" i="2"/>
  <c r="J15" i="2"/>
  <c r="J10" i="2"/>
  <c r="I26" i="2"/>
  <c r="L26" i="2"/>
  <c r="I44" i="2"/>
  <c r="L44" i="2"/>
  <c r="I33" i="2"/>
  <c r="L33" i="2"/>
  <c r="I17" i="2"/>
  <c r="L17" i="2"/>
  <c r="H20" i="2"/>
  <c r="F36" i="1"/>
  <c r="AH20" i="2" l="1"/>
  <c r="AH46" i="2"/>
  <c r="AH44" i="2"/>
  <c r="AH33" i="2"/>
  <c r="AH26" i="2"/>
  <c r="M46" i="2"/>
  <c r="P46" i="2"/>
  <c r="S26" i="2"/>
  <c r="S44" i="2"/>
  <c r="S33" i="2"/>
  <c r="R46" i="2"/>
  <c r="F46" i="2"/>
  <c r="G17" i="2"/>
  <c r="J17" i="2"/>
  <c r="I20" i="2"/>
  <c r="L20" i="2"/>
  <c r="H46" i="2"/>
  <c r="H28" i="1"/>
  <c r="H22" i="1"/>
  <c r="F22" i="1"/>
  <c r="F16" i="1"/>
  <c r="F27" i="1"/>
  <c r="J27" i="1" s="1"/>
  <c r="F25" i="1"/>
  <c r="F26" i="1"/>
  <c r="J26" i="1" s="1"/>
  <c r="F33" i="1"/>
  <c r="F37" i="1" s="1"/>
  <c r="G33" i="2" l="1"/>
  <c r="G26" i="2"/>
  <c r="G44" i="2"/>
  <c r="F28" i="1"/>
  <c r="J28" i="1" s="1"/>
  <c r="G20" i="2"/>
  <c r="S46" i="2"/>
  <c r="J44" i="2"/>
  <c r="J26" i="2"/>
  <c r="J33" i="2"/>
  <c r="J20" i="2"/>
  <c r="I46" i="2"/>
  <c r="L46" i="2"/>
  <c r="F39" i="1"/>
  <c r="H39" i="1"/>
  <c r="J25" i="1"/>
  <c r="J31" i="1"/>
  <c r="J36" i="1"/>
  <c r="J33" i="1"/>
  <c r="J20" i="1"/>
  <c r="J19" i="1"/>
  <c r="G46" i="2" l="1"/>
  <c r="J46" i="2"/>
  <c r="J21" i="1"/>
  <c r="G13" i="1"/>
  <c r="J15" i="1" l="1"/>
  <c r="J12" i="1"/>
  <c r="J13" i="1"/>
  <c r="J9" i="1" l="1"/>
  <c r="J10" i="1"/>
  <c r="J8" i="1"/>
  <c r="J22" i="1" l="1"/>
  <c r="J37" i="1"/>
  <c r="J16" i="1"/>
  <c r="J39" i="1" l="1"/>
</calcChain>
</file>

<file path=xl/comments1.xml><?xml version="1.0" encoding="utf-8"?>
<comments xmlns="http://schemas.openxmlformats.org/spreadsheetml/2006/main">
  <authors>
    <author>Dawn Vinberg</author>
    <author>siegal</author>
  </authors>
  <commentList>
    <comment ref="H6" authorId="0" shapeId="0">
      <text>
        <r>
          <rPr>
            <b/>
            <sz val="8"/>
            <color indexed="81"/>
            <rFont val="Tahoma"/>
            <family val="2"/>
          </rPr>
          <t>Dawn Vinberg:</t>
        </r>
        <r>
          <rPr>
            <sz val="8"/>
            <color indexed="81"/>
            <rFont val="Tahoma"/>
            <family val="2"/>
          </rPr>
          <t xml:space="preserve"> The 0809 and 0910 are figures from Michael Pham's tenure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siegal:</t>
        </r>
        <r>
          <rPr>
            <sz val="9"/>
            <color indexed="81"/>
            <rFont val="Tahoma"/>
            <family val="2"/>
          </rPr>
          <t xml:space="preserve">
State + Facilities Maint amount + ABE + EL Civics</t>
        </r>
      </text>
    </comment>
    <comment ref="H9" authorId="1" shapeId="0">
      <text>
        <r>
          <rPr>
            <b/>
            <sz val="9"/>
            <color indexed="81"/>
            <rFont val="Tahoma"/>
            <family val="2"/>
          </rPr>
          <t>siegal:</t>
        </r>
        <r>
          <rPr>
            <sz val="9"/>
            <color indexed="81"/>
            <rFont val="Tahoma"/>
            <family val="2"/>
          </rPr>
          <t xml:space="preserve">
State + Facilities Maint amount + ABE + EL Civics
</t>
        </r>
      </text>
    </comment>
    <comment ref="K9" authorId="1" shapeId="0">
      <text>
        <r>
          <rPr>
            <b/>
            <sz val="9"/>
            <color indexed="81"/>
            <rFont val="Tahoma"/>
            <family val="2"/>
          </rPr>
          <t>siegal:</t>
        </r>
        <r>
          <rPr>
            <sz val="9"/>
            <color indexed="81"/>
            <rFont val="Tahoma"/>
            <family val="2"/>
          </rPr>
          <t xml:space="preserve">
State + Facilities Maint amount + ABE + EL Civics</t>
        </r>
      </text>
    </comment>
    <comment ref="N9" authorId="1" shapeId="0">
      <text>
        <r>
          <rPr>
            <b/>
            <sz val="9"/>
            <color indexed="81"/>
            <rFont val="Tahoma"/>
            <family val="2"/>
          </rPr>
          <t>siegal:</t>
        </r>
        <r>
          <rPr>
            <sz val="9"/>
            <color indexed="81"/>
            <rFont val="Tahoma"/>
            <family val="2"/>
          </rPr>
          <t xml:space="preserve">
State + Facilities Maint amount + ABE + EL Civics
</t>
        </r>
      </text>
    </comment>
    <comment ref="Q9" authorId="1" shapeId="0">
      <text>
        <r>
          <rPr>
            <b/>
            <sz val="9"/>
            <color indexed="81"/>
            <rFont val="Tahoma"/>
            <family val="2"/>
          </rPr>
          <t>siegal:</t>
        </r>
        <r>
          <rPr>
            <sz val="9"/>
            <color indexed="81"/>
            <rFont val="Tahoma"/>
            <family val="2"/>
          </rPr>
          <t xml:space="preserve">
State + Facilities Maint amount</t>
        </r>
      </text>
    </comment>
    <comment ref="F10" authorId="1" shapeId="0">
      <text>
        <r>
          <rPr>
            <b/>
            <sz val="9"/>
            <color indexed="81"/>
            <rFont val="Tahoma"/>
            <family val="2"/>
          </rPr>
          <t>siegal:
This is FMS Query Revenue Fund 149 Source 0424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0" authorId="1" shapeId="0">
      <text>
        <r>
          <rPr>
            <b/>
            <sz val="9"/>
            <color indexed="81"/>
            <rFont val="Tahoma"/>
            <family val="2"/>
          </rPr>
          <t>siegal:
This is FMS Query Revenue Fund 149 Source 0424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0" authorId="1" shapeId="0">
      <text>
        <r>
          <rPr>
            <b/>
            <sz val="9"/>
            <color indexed="81"/>
            <rFont val="Tahoma"/>
            <family val="2"/>
          </rPr>
          <t>siegal:</t>
        </r>
        <r>
          <rPr>
            <sz val="9"/>
            <color indexed="81"/>
            <rFont val="Tahoma"/>
            <family val="2"/>
          </rPr>
          <t xml:space="preserve">
FMS Query 149 
</t>
        </r>
      </text>
    </comment>
    <comment ref="N10" authorId="1" shapeId="0">
      <text>
        <r>
          <rPr>
            <b/>
            <sz val="9"/>
            <color indexed="81"/>
            <rFont val="Tahoma"/>
            <family val="2"/>
          </rPr>
          <t>siegal:
This is FMS Query Revenue Fund 149 Source 0424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10" authorId="1" shapeId="0">
      <text>
        <r>
          <rPr>
            <b/>
            <sz val="9"/>
            <color indexed="81"/>
            <rFont val="Tahoma"/>
            <family val="2"/>
          </rPr>
          <t xml:space="preserve">siegal:
This is FMS Query Revenue Fund 149 Source 0424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10" authorId="1" shapeId="0">
      <text>
        <r>
          <rPr>
            <sz val="9"/>
            <color indexed="81"/>
            <rFont val="Tahoma"/>
            <family val="2"/>
          </rPr>
          <t>siegal:
This is FMS Query Revenue Fund 149 Source 0424</t>
        </r>
      </text>
    </comment>
    <comment ref="W10" authorId="1" shapeId="0">
      <text>
        <r>
          <rPr>
            <b/>
            <sz val="9"/>
            <color indexed="81"/>
            <rFont val="Tahoma"/>
            <family val="2"/>
          </rPr>
          <t>siegal:
This is FMS Query Revenue Fund 149 Source 0424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25" authorId="1" shapeId="0">
      <text>
        <r>
          <rPr>
            <b/>
            <sz val="9"/>
            <color indexed="81"/>
            <rFont val="Tahoma"/>
            <family val="2"/>
          </rPr>
          <t>siegal:</t>
        </r>
        <r>
          <rPr>
            <sz val="9"/>
            <color indexed="81"/>
            <rFont val="Tahoma"/>
            <family val="2"/>
          </rPr>
          <t xml:space="preserve">
Total 145 revenue minus running start and int'l
</t>
        </r>
      </text>
    </comment>
    <comment ref="H29" authorId="0" shapeId="0">
      <text>
        <r>
          <rPr>
            <b/>
            <sz val="8"/>
            <color indexed="81"/>
            <rFont val="Tahoma"/>
            <family val="2"/>
          </rPr>
          <t>Mpham:</t>
        </r>
        <r>
          <rPr>
            <sz val="8"/>
            <color indexed="81"/>
            <rFont val="Tahoma"/>
            <family val="2"/>
          </rPr>
          <t xml:space="preserve">
total exp for 0809 + projected increase for 0910</t>
        </r>
      </text>
    </comment>
  </commentList>
</comments>
</file>

<file path=xl/sharedStrings.xml><?xml version="1.0" encoding="utf-8"?>
<sst xmlns="http://schemas.openxmlformats.org/spreadsheetml/2006/main" count="289" uniqueCount="167">
  <si>
    <t xml:space="preserve">SEATTLE COMMUNITY COLLEGE DISTRICT </t>
  </si>
  <si>
    <t>FY2008-2009</t>
  </si>
  <si>
    <t>% changes</t>
  </si>
  <si>
    <t>Cost Recoveries &amp; Indirects</t>
  </si>
  <si>
    <t>Facilities Maintenance</t>
  </si>
  <si>
    <t>Subtotal General Operations</t>
  </si>
  <si>
    <t xml:space="preserve">Carry-forward Balance </t>
  </si>
  <si>
    <t>TOTAL GENERAL OPERATIONS</t>
  </si>
  <si>
    <t>Parking &amp; TMP</t>
  </si>
  <si>
    <t>Auxiliary Enterprises</t>
  </si>
  <si>
    <t>FY2009-10</t>
  </si>
  <si>
    <t>State Fund</t>
  </si>
  <si>
    <t>Tuition</t>
  </si>
  <si>
    <t>II.  GRANTS AND CONTRACTS</t>
  </si>
  <si>
    <t>Running Start</t>
  </si>
  <si>
    <t>International Students</t>
  </si>
  <si>
    <t>Other Grants &amp; Contract</t>
  </si>
  <si>
    <t>total exp for 0809 + projected increase for 0910</t>
  </si>
  <si>
    <t>145-111-@CRS</t>
  </si>
  <si>
    <t>total exp for 0809 + projected increase for 0910 (taxes + 10% inc parking)</t>
  </si>
  <si>
    <t>III.  DEDICATED AND SELF-SUPPORT</t>
  </si>
  <si>
    <t>TOTAL GRANTS &amp; CONTRACTS</t>
  </si>
  <si>
    <t>TOTAL DEDICATED &amp; SUPPORT</t>
  </si>
  <si>
    <t>Dedicated Student Fees</t>
  </si>
  <si>
    <t>Instructional Retail Activities</t>
  </si>
  <si>
    <t>Continuing Education</t>
  </si>
  <si>
    <t>IV.  OTHER FUNDS</t>
  </si>
  <si>
    <t>FY08-09 indicates ending budget, net of all adjustments &amp; revisions</t>
  </si>
  <si>
    <t>Associated Students</t>
  </si>
  <si>
    <t>Agency</t>
  </si>
  <si>
    <t>Bookstore</t>
  </si>
  <si>
    <t>S&amp;A budgets</t>
  </si>
  <si>
    <t>Total state allocations - incl Health Insur &amp; reds</t>
  </si>
  <si>
    <t>2N13, 3N40, 3N41, 3N42, 4N97 (incl Central's 3.3M incr)</t>
  </si>
  <si>
    <t>2009-2010</t>
  </si>
  <si>
    <t>I.  GENERAL OPERATING</t>
  </si>
  <si>
    <t>TOTAL OTHER FUNDS</t>
  </si>
  <si>
    <t>TOTAL FISCAL YEAR BUDGET</t>
  </si>
  <si>
    <t>total rev for 0809 + projected increase for 0910</t>
  </si>
  <si>
    <t>Includes tuition increases</t>
  </si>
  <si>
    <t>projected decrease due to red in WorkFirst</t>
  </si>
  <si>
    <t>ABE &amp; EL Civics</t>
  </si>
  <si>
    <t>Transferred to Reserves</t>
  </si>
  <si>
    <t>PROPOSED FISCAL YEAR BUDGET</t>
  </si>
  <si>
    <t>Motor Pool &amp; Printing</t>
  </si>
  <si>
    <t>FY2009-2010</t>
  </si>
  <si>
    <t>Method</t>
  </si>
  <si>
    <t>FY2010-2011</t>
  </si>
  <si>
    <t>FY2011-2012</t>
  </si>
  <si>
    <t>145-111-%CRS in FMS Query Revenue Report</t>
  </si>
  <si>
    <t>Running Start Revenue</t>
  </si>
  <si>
    <t>International Students Revenue</t>
  </si>
  <si>
    <t>2N13, 3N40, 3N41, 3N42, 4N97 (added amounts FMS Query Revenue Report)</t>
  </si>
  <si>
    <t>Appr 148, Prog 011 in FMS Revenue Report</t>
  </si>
  <si>
    <t>Appr 148, Prog 014 in FMS Revenue Report</t>
  </si>
  <si>
    <t>Appr 148, Prog 042 in FMS Revenue Report</t>
  </si>
  <si>
    <t>524 fund revenue from FMS Query Revenue Report</t>
  </si>
  <si>
    <t>528 fund revenue from FMS Query Revenue Report</t>
  </si>
  <si>
    <t>570 fund revenue from FMS Query Revenue Report</t>
  </si>
  <si>
    <t>860 fund revenue from FMS Query Revenue Report</t>
  </si>
  <si>
    <t>460+448 fund revenue from FMS Query Revenue Report</t>
  </si>
  <si>
    <t>Agency Financial Aid</t>
  </si>
  <si>
    <t>522 fund revenue from FMS Query Revenue Report
Each campus should have an S&amp;A detail budget</t>
  </si>
  <si>
    <t>% Change</t>
  </si>
  <si>
    <t>Funding %</t>
  </si>
  <si>
    <t>prior FY indicates ending budget, net of all adjustments &amp; revisions</t>
  </si>
  <si>
    <t>FY2013-2014</t>
  </si>
  <si>
    <t>FY2014-2015</t>
  </si>
  <si>
    <t>Food Service</t>
  </si>
  <si>
    <t>Student Housing</t>
  </si>
  <si>
    <t>573 fund revenue from FMS Query</t>
  </si>
  <si>
    <t>569 fund revenue from FMS Query</t>
  </si>
  <si>
    <t>FY2012-2013</t>
  </si>
  <si>
    <t>145 FMS Query Revenue -R/S-Int'l</t>
  </si>
  <si>
    <t>BAS</t>
  </si>
  <si>
    <t>Revenues</t>
  </si>
  <si>
    <t>2015-16 (ytd)</t>
  </si>
  <si>
    <t>2014-15</t>
  </si>
  <si>
    <t>2013-14</t>
  </si>
  <si>
    <t>2012-13</t>
  </si>
  <si>
    <t>Regular</t>
  </si>
  <si>
    <t>Regular - Central</t>
  </si>
  <si>
    <t>Regular - North</t>
  </si>
  <si>
    <t>Regular - South</t>
  </si>
  <si>
    <t>Regular - SVI</t>
  </si>
  <si>
    <t>Total Regular Tuition</t>
  </si>
  <si>
    <t>Non-Resident</t>
  </si>
  <si>
    <t>Non-Resident - Central</t>
  </si>
  <si>
    <t>Non-Resident - North</t>
  </si>
  <si>
    <t>Non-Resident - South</t>
  </si>
  <si>
    <t>Non-Resident - SVI</t>
  </si>
  <si>
    <t>Total Non-Resident Tuition</t>
  </si>
  <si>
    <t>BAS - Central</t>
  </si>
  <si>
    <t>BAS - North</t>
  </si>
  <si>
    <t>BAS - South</t>
  </si>
  <si>
    <t>BAS - SVI</t>
  </si>
  <si>
    <t>Total BAS Tuition</t>
  </si>
  <si>
    <t xml:space="preserve">Total Tuition Collected </t>
  </si>
  <si>
    <t>Indirect Cost Recoveries</t>
  </si>
  <si>
    <t>Central</t>
  </si>
  <si>
    <t>North</t>
  </si>
  <si>
    <t>South</t>
  </si>
  <si>
    <t>SVI</t>
  </si>
  <si>
    <t>Total Indirect Cost Recoveries</t>
  </si>
  <si>
    <t>International Student Revenue (Fund 145)</t>
  </si>
  <si>
    <t>Central - Regular  - 145</t>
  </si>
  <si>
    <t>Central - Non-Coll Level - 570</t>
  </si>
  <si>
    <t>North - Regular  145</t>
  </si>
  <si>
    <t>North - Non-Coll Level  570</t>
  </si>
  <si>
    <t>South - Regular   145</t>
  </si>
  <si>
    <t>South - Non-Coll Level   570</t>
  </si>
  <si>
    <t>Total International Student Revenue</t>
  </si>
  <si>
    <t xml:space="preserve">Central </t>
  </si>
  <si>
    <t xml:space="preserve">North </t>
  </si>
  <si>
    <t xml:space="preserve">South </t>
  </si>
  <si>
    <t>SVI?</t>
  </si>
  <si>
    <t>Total Running Start Revenues</t>
  </si>
  <si>
    <t>Budget Allocations</t>
  </si>
  <si>
    <t>BAS Allocation</t>
  </si>
  <si>
    <t>Total BAS Allocation</t>
  </si>
  <si>
    <t>Indirect Cost Recovery Allocation</t>
  </si>
  <si>
    <t>DO</t>
  </si>
  <si>
    <t>Total Indirect Cost Recovery Allocation</t>
  </si>
  <si>
    <t>International Cost Recovery Allocation</t>
  </si>
  <si>
    <t>Total International Cost Recovery</t>
  </si>
  <si>
    <t>Running Start Cost Recovery Allocation</t>
  </si>
  <si>
    <t>Total  Running Start Cost Recovery Alloc</t>
  </si>
  <si>
    <t xml:space="preserve">District Office </t>
  </si>
  <si>
    <t>District - wide</t>
  </si>
  <si>
    <t>2015-16</t>
  </si>
  <si>
    <t>2011-12</t>
  </si>
  <si>
    <t>2010-11</t>
  </si>
  <si>
    <t xml:space="preserve"> Perm</t>
  </si>
  <si>
    <t xml:space="preserve"> Temp</t>
  </si>
  <si>
    <t xml:space="preserve"> Offsets</t>
  </si>
  <si>
    <t>% change from 1213 to 1516</t>
  </si>
  <si>
    <t xml:space="preserve">Source of data: Each fiscal year's final District Allocation spreadsheet. </t>
  </si>
  <si>
    <t xml:space="preserve"> State only</t>
  </si>
  <si>
    <t xml:space="preserve"> State FTES</t>
  </si>
  <si>
    <t xml:space="preserve"> RS &amp; IC FTES</t>
  </si>
  <si>
    <t xml:space="preserve"> FTEF </t>
  </si>
  <si>
    <t>2009-10</t>
  </si>
  <si>
    <t>2008-09</t>
  </si>
  <si>
    <t>Central S/F Ratio</t>
  </si>
  <si>
    <t>North S/F Ratio</t>
  </si>
  <si>
    <t>South S/F Ratio</t>
  </si>
  <si>
    <t>SVI S/F Ratio</t>
  </si>
  <si>
    <t>% change from 0910 to 1516</t>
  </si>
  <si>
    <t>FY2016-2017</t>
  </si>
  <si>
    <t>FY2015-2016</t>
  </si>
  <si>
    <t>Student Services &amp; Community Fees</t>
  </si>
  <si>
    <t>Cost Recoveries &amp; Indirect</t>
  </si>
  <si>
    <t>Resident Tuition</t>
  </si>
  <si>
    <t>Non-resident Tuition</t>
  </si>
  <si>
    <t>BAS Tuition</t>
  </si>
  <si>
    <t>2 year trend to project 2016-17</t>
  </si>
  <si>
    <t xml:space="preserve">Actual  </t>
  </si>
  <si>
    <t>Budget</t>
  </si>
  <si>
    <t>2016-17</t>
  </si>
  <si>
    <t>SEATTLE COLLEGES</t>
  </si>
  <si>
    <t>Cost Recoveries</t>
  </si>
  <si>
    <t>International Revenue</t>
  </si>
  <si>
    <t>Auxiliary Revenue</t>
  </si>
  <si>
    <t>FY2017-18</t>
  </si>
  <si>
    <t>Change</t>
  </si>
  <si>
    <t>2017-18</t>
  </si>
  <si>
    <t>Transferred (to)/from Reserves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</si>
</sst>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;\(0.0%\)"/>
    <numFmt numFmtId="166" formatCode="0.0%"/>
    <numFmt numFmtId="167" formatCode="_(* #,##0_);_(* \(#,##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u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Arial Black"/>
      <family val="2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16"/>
      <color theme="1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4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6" fillId="2" borderId="1" xfId="1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4" fontId="8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Border="1"/>
    <xf numFmtId="164" fontId="13" fillId="0" borderId="0" xfId="1" applyNumberFormat="1" applyFont="1"/>
    <xf numFmtId="0" fontId="13" fillId="0" borderId="0" xfId="0" applyFont="1"/>
    <xf numFmtId="0" fontId="0" fillId="0" borderId="0" xfId="0" applyBorder="1"/>
    <xf numFmtId="164" fontId="0" fillId="0" borderId="0" xfId="1" applyNumberFormat="1" applyFont="1"/>
    <xf numFmtId="0" fontId="14" fillId="0" borderId="0" xfId="0" applyNumberFormat="1" applyFont="1"/>
    <xf numFmtId="0" fontId="14" fillId="0" borderId="0" xfId="0" applyFont="1"/>
    <xf numFmtId="0" fontId="14" fillId="0" borderId="0" xfId="0" applyFont="1" applyBorder="1"/>
    <xf numFmtId="164" fontId="14" fillId="0" borderId="0" xfId="1" applyNumberFormat="1" applyFont="1"/>
    <xf numFmtId="165" fontId="14" fillId="0" borderId="0" xfId="2" applyNumberFormat="1" applyFont="1"/>
    <xf numFmtId="0" fontId="14" fillId="0" borderId="2" xfId="0" applyFont="1" applyBorder="1"/>
    <xf numFmtId="164" fontId="14" fillId="0" borderId="2" xfId="1" applyNumberFormat="1" applyFont="1" applyBorder="1"/>
    <xf numFmtId="0" fontId="14" fillId="0" borderId="0" xfId="0" applyFont="1" applyAlignment="1">
      <alignment horizontal="left"/>
    </xf>
    <xf numFmtId="164" fontId="14" fillId="0" borderId="0" xfId="1" applyNumberFormat="1" applyFont="1" applyBorder="1"/>
    <xf numFmtId="0" fontId="15" fillId="0" borderId="0" xfId="0" applyFont="1" applyAlignment="1">
      <alignment horizontal="left"/>
    </xf>
    <xf numFmtId="0" fontId="15" fillId="0" borderId="0" xfId="0" applyFont="1" applyFill="1" applyBorder="1"/>
    <xf numFmtId="0" fontId="15" fillId="0" borderId="0" xfId="0" applyFont="1"/>
    <xf numFmtId="0" fontId="15" fillId="0" borderId="0" xfId="0" applyFont="1" applyBorder="1"/>
    <xf numFmtId="164" fontId="15" fillId="0" borderId="3" xfId="1" applyNumberFormat="1" applyFont="1" applyBorder="1"/>
    <xf numFmtId="164" fontId="15" fillId="0" borderId="0" xfId="1" applyNumberFormat="1" applyFont="1" applyBorder="1"/>
    <xf numFmtId="0" fontId="0" fillId="0" borderId="0" xfId="0" applyAlignment="1">
      <alignment horizontal="left"/>
    </xf>
    <xf numFmtId="164" fontId="0" fillId="0" borderId="0" xfId="1" applyNumberFormat="1" applyFont="1" applyBorder="1"/>
    <xf numFmtId="165" fontId="0" fillId="0" borderId="0" xfId="2" applyNumberFormat="1" applyFont="1"/>
    <xf numFmtId="165" fontId="0" fillId="0" borderId="0" xfId="2" applyNumberFormat="1" applyFont="1" applyBorder="1"/>
    <xf numFmtId="164" fontId="14" fillId="0" borderId="0" xfId="1" applyNumberFormat="1" applyFont="1" applyFill="1" applyBorder="1"/>
    <xf numFmtId="164" fontId="14" fillId="0" borderId="0" xfId="1" applyNumberFormat="1" applyFont="1" applyFill="1"/>
    <xf numFmtId="164" fontId="14" fillId="0" borderId="2" xfId="1" applyNumberFormat="1" applyFont="1" applyFill="1" applyBorder="1"/>
    <xf numFmtId="0" fontId="10" fillId="0" borderId="0" xfId="0" applyFont="1" applyBorder="1"/>
    <xf numFmtId="164" fontId="10" fillId="0" borderId="0" xfId="1" applyNumberFormat="1" applyFont="1"/>
    <xf numFmtId="165" fontId="10" fillId="0" borderId="0" xfId="2" applyNumberFormat="1" applyFont="1"/>
    <xf numFmtId="0" fontId="16" fillId="0" borderId="0" xfId="0" applyFont="1"/>
    <xf numFmtId="0" fontId="16" fillId="0" borderId="0" xfId="0" applyFont="1" applyBorder="1"/>
    <xf numFmtId="164" fontId="16" fillId="0" borderId="0" xfId="1" applyNumberFormat="1" applyFont="1"/>
    <xf numFmtId="165" fontId="16" fillId="0" borderId="0" xfId="2" applyNumberFormat="1" applyFont="1"/>
    <xf numFmtId="0" fontId="15" fillId="2" borderId="3" xfId="0" applyFont="1" applyFill="1" applyBorder="1"/>
    <xf numFmtId="164" fontId="15" fillId="2" borderId="3" xfId="1" applyNumberFormat="1" applyFont="1" applyFill="1" applyBorder="1"/>
    <xf numFmtId="165" fontId="15" fillId="2" borderId="3" xfId="2" applyNumberFormat="1" applyFont="1" applyFill="1" applyBorder="1"/>
    <xf numFmtId="0" fontId="3" fillId="0" borderId="0" xfId="0" quotePrefix="1" applyFont="1"/>
    <xf numFmtId="166" fontId="0" fillId="0" borderId="0" xfId="2" applyNumberFormat="1" applyFont="1"/>
    <xf numFmtId="0" fontId="7" fillId="0" borderId="0" xfId="0" applyFont="1" applyAlignment="1">
      <alignment horizontal="left"/>
    </xf>
    <xf numFmtId="0" fontId="14" fillId="0" borderId="0" xfId="0" applyFont="1" applyBorder="1" applyAlignment="1">
      <alignment horizontal="left"/>
    </xf>
    <xf numFmtId="165" fontId="14" fillId="0" borderId="0" xfId="2" applyNumberFormat="1" applyFont="1" applyBorder="1"/>
    <xf numFmtId="0" fontId="3" fillId="0" borderId="0" xfId="0" applyFont="1" applyBorder="1"/>
    <xf numFmtId="164" fontId="14" fillId="0" borderId="0" xfId="0" applyNumberFormat="1" applyFont="1"/>
    <xf numFmtId="164" fontId="3" fillId="0" borderId="0" xfId="0" applyNumberFormat="1" applyFont="1"/>
    <xf numFmtId="165" fontId="14" fillId="0" borderId="2" xfId="2" applyNumberFormat="1" applyFont="1" applyBorder="1"/>
    <xf numFmtId="165" fontId="6" fillId="0" borderId="3" xfId="2" applyNumberFormat="1" applyFont="1" applyBorder="1"/>
    <xf numFmtId="164" fontId="15" fillId="0" borderId="0" xfId="0" applyNumberFormat="1" applyFont="1"/>
    <xf numFmtId="0" fontId="18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Border="1" applyAlignment="1">
      <alignment horizontal="center"/>
    </xf>
    <xf numFmtId="0" fontId="19" fillId="0" borderId="0" xfId="0" applyFont="1"/>
    <xf numFmtId="0" fontId="18" fillId="0" borderId="0" xfId="0" applyFont="1" applyBorder="1"/>
    <xf numFmtId="164" fontId="18" fillId="0" borderId="0" xfId="1" applyNumberFormat="1" applyFont="1"/>
    <xf numFmtId="164" fontId="18" fillId="0" borderId="0" xfId="1" applyNumberFormat="1" applyFont="1" applyBorder="1"/>
    <xf numFmtId="0" fontId="18" fillId="0" borderId="2" xfId="0" applyFont="1" applyBorder="1"/>
    <xf numFmtId="164" fontId="18" fillId="0" borderId="2" xfId="1" applyNumberFormat="1" applyFont="1" applyBorder="1"/>
    <xf numFmtId="165" fontId="18" fillId="0" borderId="2" xfId="2" applyNumberFormat="1" applyFont="1" applyBorder="1"/>
    <xf numFmtId="165" fontId="18" fillId="0" borderId="0" xfId="2" applyNumberFormat="1" applyFont="1" applyBorder="1"/>
    <xf numFmtId="0" fontId="20" fillId="0" borderId="0" xfId="0" applyFont="1" applyFill="1" applyBorder="1"/>
    <xf numFmtId="0" fontId="20" fillId="0" borderId="0" xfId="0" applyFont="1"/>
    <xf numFmtId="164" fontId="20" fillId="0" borderId="3" xfId="1" applyNumberFormat="1" applyFont="1" applyBorder="1"/>
    <xf numFmtId="165" fontId="20" fillId="0" borderId="3" xfId="2" applyNumberFormat="1" applyFont="1" applyBorder="1"/>
    <xf numFmtId="164" fontId="18" fillId="0" borderId="0" xfId="1" applyNumberFormat="1" applyFont="1" applyFill="1" applyBorder="1"/>
    <xf numFmtId="164" fontId="18" fillId="0" borderId="2" xfId="1" applyNumberFormat="1" applyFont="1" applyFill="1" applyBorder="1"/>
    <xf numFmtId="166" fontId="18" fillId="0" borderId="0" xfId="2" applyNumberFormat="1" applyFont="1"/>
    <xf numFmtId="0" fontId="17" fillId="0" borderId="0" xfId="0" applyFont="1" applyAlignment="1"/>
    <xf numFmtId="164" fontId="18" fillId="0" borderId="0" xfId="1" applyNumberFormat="1" applyFont="1" applyFill="1" applyBorder="1" applyAlignment="1">
      <alignment wrapText="1"/>
    </xf>
    <xf numFmtId="0" fontId="18" fillId="0" borderId="0" xfId="0" applyFont="1" applyBorder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 vertical="center"/>
    </xf>
    <xf numFmtId="6" fontId="0" fillId="0" borderId="0" xfId="0" applyNumberFormat="1"/>
    <xf numFmtId="0" fontId="2" fillId="0" borderId="0" xfId="0" applyFont="1"/>
    <xf numFmtId="6" fontId="2" fillId="0" borderId="0" xfId="0" applyNumberFormat="1" applyFont="1"/>
    <xf numFmtId="38" fontId="0" fillId="0" borderId="0" xfId="0" applyNumberFormat="1"/>
    <xf numFmtId="167" fontId="0" fillId="0" borderId="0" xfId="3" applyNumberFormat="1" applyFont="1"/>
    <xf numFmtId="10" fontId="0" fillId="0" borderId="0" xfId="2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2" fontId="0" fillId="0" borderId="0" xfId="0" applyNumberFormat="1"/>
    <xf numFmtId="0" fontId="0" fillId="0" borderId="2" xfId="0" applyBorder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/>
    <xf numFmtId="6" fontId="0" fillId="3" borderId="0" xfId="0" applyNumberFormat="1" applyFill="1"/>
    <xf numFmtId="6" fontId="2" fillId="3" borderId="0" xfId="0" applyNumberFormat="1" applyFont="1" applyFill="1"/>
    <xf numFmtId="10" fontId="0" fillId="0" borderId="0" xfId="2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0" fontId="0" fillId="0" borderId="2" xfId="0" applyNumberFormat="1" applyBorder="1" applyAlignment="1">
      <alignment horizontal="center" wrapText="1"/>
    </xf>
    <xf numFmtId="0" fontId="0" fillId="0" borderId="0" xfId="0" applyBorder="1" applyAlignment="1">
      <alignment horizontal="center"/>
    </xf>
    <xf numFmtId="2" fontId="0" fillId="0" borderId="0" xfId="0" applyNumberFormat="1" applyBorder="1"/>
    <xf numFmtId="164" fontId="18" fillId="0" borderId="0" xfId="1" applyNumberFormat="1" applyFont="1" applyFill="1"/>
    <xf numFmtId="0" fontId="20" fillId="0" borderId="3" xfId="0" applyFont="1" applyBorder="1"/>
    <xf numFmtId="0" fontId="19" fillId="0" borderId="0" xfId="0" applyFont="1" applyFill="1"/>
    <xf numFmtId="0" fontId="18" fillId="0" borderId="0" xfId="0" applyFont="1" applyFill="1" applyBorder="1"/>
    <xf numFmtId="0" fontId="18" fillId="0" borderId="0" xfId="0" applyFont="1" applyFill="1"/>
    <xf numFmtId="164" fontId="18" fillId="0" borderId="0" xfId="0" applyNumberFormat="1" applyFont="1" applyFill="1"/>
    <xf numFmtId="0" fontId="18" fillId="0" borderId="2" xfId="0" applyFont="1" applyFill="1" applyBorder="1"/>
    <xf numFmtId="165" fontId="18" fillId="0" borderId="2" xfId="2" applyNumberFormat="1" applyFont="1" applyFill="1" applyBorder="1"/>
    <xf numFmtId="0" fontId="24" fillId="0" borderId="0" xfId="0" applyFont="1" applyFill="1" applyBorder="1" applyAlignment="1">
      <alignment wrapText="1"/>
    </xf>
    <xf numFmtId="165" fontId="18" fillId="0" borderId="0" xfId="2" applyNumberFormat="1" applyFont="1" applyFill="1" applyBorder="1"/>
    <xf numFmtId="166" fontId="18" fillId="0" borderId="0" xfId="2" applyNumberFormat="1" applyFont="1" applyFill="1"/>
    <xf numFmtId="166" fontId="18" fillId="0" borderId="0" xfId="2" applyNumberFormat="1" applyFont="1" applyFill="1" applyBorder="1"/>
    <xf numFmtId="166" fontId="18" fillId="0" borderId="0" xfId="2" applyNumberFormat="1" applyFont="1" applyBorder="1"/>
    <xf numFmtId="166" fontId="20" fillId="0" borderId="3" xfId="2" applyNumberFormat="1" applyFont="1" applyBorder="1"/>
    <xf numFmtId="166" fontId="18" fillId="0" borderId="2" xfId="2" applyNumberFormat="1" applyFont="1" applyBorder="1"/>
    <xf numFmtId="0" fontId="30" fillId="0" borderId="0" xfId="0" applyFont="1" applyFill="1"/>
    <xf numFmtId="164" fontId="30" fillId="0" borderId="0" xfId="1" applyNumberFormat="1" applyFont="1" applyFill="1" applyBorder="1"/>
    <xf numFmtId="166" fontId="18" fillId="0" borderId="2" xfId="2" applyNumberFormat="1" applyFont="1" applyFill="1" applyBorder="1"/>
    <xf numFmtId="0" fontId="20" fillId="0" borderId="3" xfId="0" applyFont="1" applyFill="1" applyBorder="1"/>
    <xf numFmtId="0" fontId="23" fillId="0" borderId="3" xfId="0" applyFont="1" applyBorder="1" applyAlignment="1">
      <alignment wrapText="1"/>
    </xf>
    <xf numFmtId="165" fontId="18" fillId="0" borderId="3" xfId="2" applyNumberFormat="1" applyFont="1" applyFill="1" applyBorder="1"/>
    <xf numFmtId="0" fontId="20" fillId="2" borderId="2" xfId="0" applyFont="1" applyFill="1" applyBorder="1" applyAlignment="1">
      <alignment horizontal="center"/>
    </xf>
    <xf numFmtId="164" fontId="20" fillId="2" borderId="2" xfId="1" applyNumberFormat="1" applyFont="1" applyFill="1" applyBorder="1" applyAlignment="1">
      <alignment horizontal="center"/>
    </xf>
    <xf numFmtId="166" fontId="20" fillId="2" borderId="2" xfId="2" applyNumberFormat="1" applyFont="1" applyFill="1" applyBorder="1" applyAlignment="1">
      <alignment horizontal="center"/>
    </xf>
    <xf numFmtId="0" fontId="32" fillId="2" borderId="4" xfId="0" applyFont="1" applyFill="1" applyBorder="1"/>
    <xf numFmtId="164" fontId="20" fillId="0" borderId="5" xfId="1" applyNumberFormat="1" applyFont="1" applyBorder="1"/>
    <xf numFmtId="165" fontId="20" fillId="0" borderId="5" xfId="2" applyNumberFormat="1" applyFont="1" applyBorder="1"/>
    <xf numFmtId="0" fontId="24" fillId="0" borderId="2" xfId="0" applyFont="1" applyFill="1" applyBorder="1" applyAlignment="1">
      <alignment wrapText="1"/>
    </xf>
    <xf numFmtId="166" fontId="18" fillId="0" borderId="3" xfId="2" applyNumberFormat="1" applyFont="1" applyFill="1" applyBorder="1"/>
    <xf numFmtId="0" fontId="20" fillId="2" borderId="0" xfId="0" applyFont="1" applyFill="1"/>
    <xf numFmtId="164" fontId="33" fillId="0" borderId="0" xfId="1" applyNumberFormat="1" applyFont="1"/>
    <xf numFmtId="164" fontId="20" fillId="2" borderId="6" xfId="1" applyNumberFormat="1" applyFont="1" applyFill="1" applyBorder="1"/>
    <xf numFmtId="0" fontId="34" fillId="0" borderId="0" xfId="0" applyFont="1" applyAlignment="1"/>
    <xf numFmtId="167" fontId="0" fillId="0" borderId="0" xfId="0" applyNumberFormat="1"/>
    <xf numFmtId="167" fontId="0" fillId="0" borderId="2" xfId="3" applyNumberFormat="1" applyFont="1" applyBorder="1"/>
    <xf numFmtId="0" fontId="32" fillId="0" borderId="4" xfId="0" applyFont="1" applyFill="1" applyBorder="1" applyAlignment="1">
      <alignment horizontal="center"/>
    </xf>
    <xf numFmtId="0" fontId="32" fillId="0" borderId="4" xfId="0" applyFont="1" applyFill="1" applyBorder="1"/>
    <xf numFmtId="166" fontId="20" fillId="0" borderId="2" xfId="2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164" fontId="20" fillId="0" borderId="8" xfId="1" applyNumberFormat="1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166" fontId="20" fillId="0" borderId="3" xfId="2" applyNumberFormat="1" applyFont="1" applyFill="1" applyBorder="1"/>
    <xf numFmtId="164" fontId="20" fillId="0" borderId="3" xfId="0" applyNumberFormat="1" applyFont="1" applyFill="1" applyBorder="1"/>
    <xf numFmtId="0" fontId="20" fillId="0" borderId="0" xfId="0" applyFont="1" applyFill="1"/>
    <xf numFmtId="166" fontId="20" fillId="0" borderId="0" xfId="2" applyNumberFormat="1" applyFont="1" applyFill="1" applyBorder="1"/>
    <xf numFmtId="43" fontId="18" fillId="0" borderId="0" xfId="3" applyFont="1" applyFill="1"/>
    <xf numFmtId="167" fontId="18" fillId="0" borderId="0" xfId="3" applyNumberFormat="1" applyFont="1" applyFill="1"/>
    <xf numFmtId="167" fontId="32" fillId="0" borderId="4" xfId="3" applyNumberFormat="1" applyFont="1" applyFill="1" applyBorder="1" applyAlignment="1">
      <alignment horizontal="center"/>
    </xf>
    <xf numFmtId="167" fontId="20" fillId="0" borderId="2" xfId="3" applyNumberFormat="1" applyFont="1" applyFill="1" applyBorder="1" applyAlignment="1">
      <alignment horizontal="center"/>
    </xf>
    <xf numFmtId="167" fontId="20" fillId="0" borderId="0" xfId="3" applyNumberFormat="1" applyFont="1" applyFill="1" applyAlignment="1">
      <alignment horizontal="center"/>
    </xf>
    <xf numFmtId="167" fontId="18" fillId="0" borderId="0" xfId="3" applyNumberFormat="1" applyFont="1" applyFill="1" applyBorder="1"/>
    <xf numFmtId="167" fontId="18" fillId="0" borderId="2" xfId="3" applyNumberFormat="1" applyFont="1" applyFill="1" applyBorder="1"/>
    <xf numFmtId="167" fontId="20" fillId="0" borderId="0" xfId="3" applyNumberFormat="1" applyFont="1" applyFill="1" applyBorder="1"/>
    <xf numFmtId="167" fontId="19" fillId="0" borderId="0" xfId="3" applyNumberFormat="1" applyFont="1" applyFill="1"/>
    <xf numFmtId="164" fontId="20" fillId="2" borderId="7" xfId="1" applyNumberFormat="1" applyFont="1" applyFill="1" applyBorder="1" applyAlignment="1">
      <alignment horizontal="center"/>
    </xf>
    <xf numFmtId="164" fontId="18" fillId="2" borderId="8" xfId="1" applyNumberFormat="1" applyFont="1" applyFill="1" applyBorder="1"/>
    <xf numFmtId="164" fontId="18" fillId="2" borderId="7" xfId="1" applyNumberFormat="1" applyFont="1" applyFill="1" applyBorder="1"/>
    <xf numFmtId="164" fontId="30" fillId="2" borderId="8" xfId="1" applyNumberFormat="1" applyFont="1" applyFill="1" applyBorder="1"/>
    <xf numFmtId="164" fontId="19" fillId="2" borderId="8" xfId="1" applyNumberFormat="1" applyFont="1" applyFill="1" applyBorder="1"/>
    <xf numFmtId="166" fontId="18" fillId="0" borderId="9" xfId="2" applyNumberFormat="1" applyFont="1" applyFill="1" applyBorder="1"/>
    <xf numFmtId="0" fontId="32" fillId="2" borderId="10" xfId="0" applyFont="1" applyFill="1" applyBorder="1"/>
    <xf numFmtId="0" fontId="32" fillId="2" borderId="11" xfId="0" applyFont="1" applyFill="1" applyBorder="1"/>
    <xf numFmtId="164" fontId="32" fillId="2" borderId="11" xfId="1" applyNumberFormat="1" applyFont="1" applyFill="1" applyBorder="1"/>
    <xf numFmtId="0" fontId="32" fillId="2" borderId="11" xfId="0" applyFont="1" applyFill="1" applyBorder="1" applyAlignment="1">
      <alignment horizontal="center"/>
    </xf>
    <xf numFmtId="166" fontId="32" fillId="2" borderId="11" xfId="2" applyNumberFormat="1" applyFont="1" applyFill="1" applyBorder="1" applyAlignment="1">
      <alignment horizontal="center"/>
    </xf>
    <xf numFmtId="164" fontId="32" fillId="2" borderId="11" xfId="1" applyNumberFormat="1" applyFont="1" applyFill="1" applyBorder="1" applyAlignment="1">
      <alignment horizontal="center"/>
    </xf>
    <xf numFmtId="164" fontId="32" fillId="2" borderId="12" xfId="1" applyNumberFormat="1" applyFont="1" applyFill="1" applyBorder="1" applyAlignment="1">
      <alignment horizontal="center"/>
    </xf>
    <xf numFmtId="166" fontId="32" fillId="0" borderId="11" xfId="2" applyNumberFormat="1" applyFont="1" applyFill="1" applyBorder="1" applyAlignment="1">
      <alignment horizontal="center"/>
    </xf>
    <xf numFmtId="0" fontId="32" fillId="0" borderId="13" xfId="0" applyFont="1" applyFill="1" applyBorder="1" applyAlignment="1">
      <alignment horizontal="center"/>
    </xf>
    <xf numFmtId="0" fontId="20" fillId="2" borderId="14" xfId="0" applyFont="1" applyFill="1" applyBorder="1" applyAlignment="1">
      <alignment horizontal="center"/>
    </xf>
    <xf numFmtId="0" fontId="20" fillId="0" borderId="15" xfId="0" applyFont="1" applyFill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3" fillId="0" borderId="0" xfId="0" applyFont="1" applyBorder="1" applyAlignment="1">
      <alignment horizontal="left" wrapText="1"/>
    </xf>
    <xf numFmtId="164" fontId="21" fillId="0" borderId="0" xfId="1" applyNumberFormat="1" applyFont="1" applyBorder="1" applyAlignment="1">
      <alignment horizontal="center"/>
    </xf>
    <xf numFmtId="164" fontId="18" fillId="0" borderId="0" xfId="1" applyNumberFormat="1" applyFont="1" applyFill="1" applyBorder="1" applyAlignment="1">
      <alignment horizontal="left"/>
    </xf>
    <xf numFmtId="166" fontId="20" fillId="0" borderId="0" xfId="2" applyNumberFormat="1" applyFont="1" applyBorder="1" applyAlignment="1">
      <alignment horizontal="center"/>
    </xf>
    <xf numFmtId="164" fontId="20" fillId="0" borderId="0" xfId="1" applyNumberFormat="1" applyFont="1" applyBorder="1" applyAlignment="1">
      <alignment horizontal="center"/>
    </xf>
    <xf numFmtId="166" fontId="20" fillId="0" borderId="0" xfId="2" applyNumberFormat="1" applyFont="1" applyFill="1" applyBorder="1" applyAlignment="1">
      <alignment horizontal="center"/>
    </xf>
    <xf numFmtId="0" fontId="20" fillId="0" borderId="17" xfId="0" applyFont="1" applyFill="1" applyBorder="1" applyAlignment="1">
      <alignment horizontal="center"/>
    </xf>
    <xf numFmtId="0" fontId="19" fillId="0" borderId="16" xfId="0" applyFont="1" applyFill="1" applyBorder="1"/>
    <xf numFmtId="0" fontId="19" fillId="0" borderId="0" xfId="0" applyFont="1" applyFill="1" applyBorder="1"/>
    <xf numFmtId="0" fontId="22" fillId="0" borderId="0" xfId="0" applyFont="1" applyFill="1" applyBorder="1"/>
    <xf numFmtId="164" fontId="27" fillId="0" borderId="0" xfId="1" applyNumberFormat="1" applyFont="1" applyFill="1" applyBorder="1"/>
    <xf numFmtId="0" fontId="18" fillId="0" borderId="17" xfId="0" applyFont="1" applyFill="1" applyBorder="1"/>
    <xf numFmtId="0" fontId="18" fillId="0" borderId="16" xfId="0" applyNumberFormat="1" applyFont="1" applyFill="1" applyBorder="1"/>
    <xf numFmtId="166" fontId="18" fillId="0" borderId="17" xfId="2" applyNumberFormat="1" applyFont="1" applyFill="1" applyBorder="1"/>
    <xf numFmtId="0" fontId="18" fillId="0" borderId="16" xfId="0" applyFont="1" applyFill="1" applyBorder="1" applyAlignment="1">
      <alignment horizontal="left"/>
    </xf>
    <xf numFmtId="164" fontId="24" fillId="0" borderId="0" xfId="0" applyNumberFormat="1" applyFont="1" applyFill="1" applyBorder="1" applyAlignment="1">
      <alignment wrapText="1"/>
    </xf>
    <xf numFmtId="0" fontId="30" fillId="0" borderId="16" xfId="0" applyFont="1" applyFill="1" applyBorder="1" applyAlignment="1">
      <alignment horizontal="left"/>
    </xf>
    <xf numFmtId="0" fontId="30" fillId="0" borderId="0" xfId="0" applyFont="1" applyFill="1" applyBorder="1"/>
    <xf numFmtId="0" fontId="31" fillId="0" borderId="0" xfId="0" applyFont="1" applyFill="1" applyBorder="1" applyAlignment="1">
      <alignment wrapText="1"/>
    </xf>
    <xf numFmtId="165" fontId="30" fillId="0" borderId="0" xfId="2" applyNumberFormat="1" applyFont="1" applyFill="1" applyBorder="1"/>
    <xf numFmtId="166" fontId="30" fillId="0" borderId="0" xfId="2" applyNumberFormat="1" applyFont="1" applyFill="1" applyBorder="1"/>
    <xf numFmtId="0" fontId="18" fillId="0" borderId="16" xfId="0" applyFont="1" applyBorder="1" applyAlignment="1">
      <alignment horizontal="left"/>
    </xf>
    <xf numFmtId="164" fontId="24" fillId="0" borderId="0" xfId="0" applyNumberFormat="1" applyFont="1" applyBorder="1" applyAlignment="1">
      <alignment wrapText="1"/>
    </xf>
    <xf numFmtId="0" fontId="20" fillId="0" borderId="18" xfId="0" applyFont="1" applyBorder="1" applyAlignment="1">
      <alignment horizontal="left"/>
    </xf>
    <xf numFmtId="166" fontId="20" fillId="0" borderId="19" xfId="2" applyNumberFormat="1" applyFont="1" applyFill="1" applyBorder="1"/>
    <xf numFmtId="0" fontId="24" fillId="0" borderId="0" xfId="0" applyFont="1" applyBorder="1" applyAlignment="1">
      <alignment wrapText="1"/>
    </xf>
    <xf numFmtId="0" fontId="19" fillId="0" borderId="16" xfId="0" applyFont="1" applyBorder="1"/>
    <xf numFmtId="0" fontId="24" fillId="0" borderId="0" xfId="0" quotePrefix="1" applyFont="1" applyBorder="1" applyAlignment="1">
      <alignment wrapText="1"/>
    </xf>
    <xf numFmtId="0" fontId="18" fillId="0" borderId="14" xfId="0" applyFont="1" applyFill="1" applyBorder="1" applyAlignment="1">
      <alignment horizontal="left"/>
    </xf>
    <xf numFmtId="0" fontId="18" fillId="0" borderId="15" xfId="0" applyFont="1" applyFill="1" applyBorder="1"/>
    <xf numFmtId="0" fontId="20" fillId="0" borderId="16" xfId="0" applyFont="1" applyBorder="1" applyAlignment="1">
      <alignment horizontal="left"/>
    </xf>
    <xf numFmtId="0" fontId="20" fillId="0" borderId="0" xfId="0" applyFont="1" applyBorder="1"/>
    <xf numFmtId="0" fontId="23" fillId="0" borderId="0" xfId="0" applyFont="1" applyBorder="1" applyAlignment="1">
      <alignment wrapText="1"/>
    </xf>
    <xf numFmtId="0" fontId="18" fillId="0" borderId="16" xfId="0" applyFont="1" applyBorder="1"/>
    <xf numFmtId="0" fontId="19" fillId="0" borderId="0" xfId="0" applyFont="1" applyBorder="1"/>
    <xf numFmtId="164" fontId="19" fillId="0" borderId="0" xfId="1" applyNumberFormat="1" applyFont="1" applyBorder="1"/>
    <xf numFmtId="165" fontId="19" fillId="0" borderId="0" xfId="2" applyNumberFormat="1" applyFont="1" applyBorder="1"/>
    <xf numFmtId="166" fontId="19" fillId="0" borderId="0" xfId="2" applyNumberFormat="1" applyFont="1" applyBorder="1"/>
    <xf numFmtId="166" fontId="19" fillId="0" borderId="0" xfId="2" applyNumberFormat="1" applyFont="1" applyFill="1" applyBorder="1"/>
    <xf numFmtId="0" fontId="19" fillId="0" borderId="17" xfId="0" applyFont="1" applyFill="1" applyBorder="1"/>
    <xf numFmtId="0" fontId="20" fillId="2" borderId="20" xfId="0" applyFont="1" applyFill="1" applyBorder="1"/>
    <xf numFmtId="0" fontId="20" fillId="2" borderId="21" xfId="0" applyFont="1" applyFill="1" applyBorder="1"/>
    <xf numFmtId="164" fontId="20" fillId="2" borderId="21" xfId="1" applyNumberFormat="1" applyFont="1" applyFill="1" applyBorder="1"/>
    <xf numFmtId="165" fontId="20" fillId="2" borderId="21" xfId="2" applyNumberFormat="1" applyFont="1" applyFill="1" applyBorder="1"/>
    <xf numFmtId="166" fontId="20" fillId="2" borderId="21" xfId="2" applyNumberFormat="1" applyFont="1" applyFill="1" applyBorder="1"/>
    <xf numFmtId="164" fontId="20" fillId="2" borderId="22" xfId="1" applyNumberFormat="1" applyFont="1" applyFill="1" applyBorder="1"/>
    <xf numFmtId="166" fontId="18" fillId="0" borderId="23" xfId="2" applyNumberFormat="1" applyFont="1" applyFill="1" applyBorder="1"/>
    <xf numFmtId="166" fontId="20" fillId="0" borderId="24" xfId="2" applyNumberFormat="1" applyFont="1" applyFill="1" applyBorder="1"/>
    <xf numFmtId="166" fontId="18" fillId="0" borderId="25" xfId="2" applyNumberFormat="1" applyFont="1" applyFill="1" applyBorder="1"/>
    <xf numFmtId="166" fontId="18" fillId="0" borderId="15" xfId="2" applyNumberFormat="1" applyFont="1" applyFill="1" applyBorder="1"/>
    <xf numFmtId="164" fontId="20" fillId="0" borderId="0" xfId="1" applyNumberFormat="1" applyFont="1" applyFill="1" applyBorder="1" applyAlignment="1">
      <alignment horizontal="center"/>
    </xf>
    <xf numFmtId="164" fontId="19" fillId="0" borderId="0" xfId="1" applyNumberFormat="1" applyFont="1" applyFill="1" applyBorder="1"/>
    <xf numFmtId="164" fontId="20" fillId="2" borderId="26" xfId="1" applyNumberFormat="1" applyFont="1" applyFill="1" applyBorder="1"/>
    <xf numFmtId="164" fontId="20" fillId="0" borderId="3" xfId="1" applyNumberFormat="1" applyFont="1" applyFill="1" applyBorder="1"/>
    <xf numFmtId="164" fontId="18" fillId="0" borderId="27" xfId="1" applyNumberFormat="1" applyFont="1" applyFill="1" applyBorder="1"/>
    <xf numFmtId="44" fontId="18" fillId="0" borderId="2" xfId="0" applyNumberFormat="1" applyFont="1" applyFill="1" applyBorder="1"/>
    <xf numFmtId="0" fontId="4" fillId="0" borderId="0" xfId="0" applyFont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'Revenue Trend data'!$B$6</c:f>
              <c:strCache>
                <c:ptCount val="1"/>
                <c:pt idx="0">
                  <c:v>Cost Recoveries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'Revenue Trend data'!$C$5:$K$5</c:f>
              <c:strCache>
                <c:ptCount val="9"/>
                <c:pt idx="0">
                  <c:v>2008-09</c:v>
                </c:pt>
                <c:pt idx="1">
                  <c:v>2009-10</c:v>
                </c:pt>
                <c:pt idx="2">
                  <c:v>2010-11</c:v>
                </c:pt>
                <c:pt idx="3">
                  <c:v>2011-12</c:v>
                </c:pt>
                <c:pt idx="4">
                  <c:v>2012-13</c:v>
                </c:pt>
                <c:pt idx="5">
                  <c:v>2013-14</c:v>
                </c:pt>
                <c:pt idx="6">
                  <c:v>2014-15</c:v>
                </c:pt>
                <c:pt idx="7">
                  <c:v>2015-16</c:v>
                </c:pt>
                <c:pt idx="8">
                  <c:v>2016-17</c:v>
                </c:pt>
              </c:strCache>
            </c:strRef>
          </c:cat>
          <c:val>
            <c:numRef>
              <c:f>'Revenue Trend data'!$C$6:$K$6</c:f>
              <c:numCache>
                <c:formatCode>_(* #,##0_);_(* \(#,##0\);_(* "-"??_);_(@_)</c:formatCode>
                <c:ptCount val="9"/>
                <c:pt idx="0">
                  <c:v>8829910</c:v>
                </c:pt>
                <c:pt idx="1">
                  <c:v>9093437</c:v>
                </c:pt>
                <c:pt idx="2">
                  <c:v>10082716</c:v>
                </c:pt>
                <c:pt idx="3">
                  <c:v>11456624</c:v>
                </c:pt>
                <c:pt idx="4">
                  <c:v>14115565</c:v>
                </c:pt>
                <c:pt idx="5">
                  <c:v>11653905</c:v>
                </c:pt>
                <c:pt idx="6">
                  <c:v>12306263</c:v>
                </c:pt>
                <c:pt idx="7">
                  <c:v>18447638</c:v>
                </c:pt>
                <c:pt idx="8">
                  <c:v>22657410.999999996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'Revenue Trend data'!$B$7</c:f>
              <c:strCache>
                <c:ptCount val="1"/>
                <c:pt idx="0">
                  <c:v>International Revenue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'Revenue Trend data'!$C$5:$K$5</c:f>
              <c:strCache>
                <c:ptCount val="9"/>
                <c:pt idx="0">
                  <c:v>2008-09</c:v>
                </c:pt>
                <c:pt idx="1">
                  <c:v>2009-10</c:v>
                </c:pt>
                <c:pt idx="2">
                  <c:v>2010-11</c:v>
                </c:pt>
                <c:pt idx="3">
                  <c:v>2011-12</c:v>
                </c:pt>
                <c:pt idx="4">
                  <c:v>2012-13</c:v>
                </c:pt>
                <c:pt idx="5">
                  <c:v>2013-14</c:v>
                </c:pt>
                <c:pt idx="6">
                  <c:v>2014-15</c:v>
                </c:pt>
                <c:pt idx="7">
                  <c:v>2015-16</c:v>
                </c:pt>
                <c:pt idx="8">
                  <c:v>2016-17</c:v>
                </c:pt>
              </c:strCache>
            </c:strRef>
          </c:cat>
          <c:val>
            <c:numRef>
              <c:f>'Revenue Trend data'!$C$7:$K$7</c:f>
              <c:numCache>
                <c:formatCode>_(* #,##0_);_(* \(#,##0\);_(* "-"??_);_(@_)</c:formatCode>
                <c:ptCount val="9"/>
                <c:pt idx="0">
                  <c:v>12525517</c:v>
                </c:pt>
                <c:pt idx="1">
                  <c:v>13049177</c:v>
                </c:pt>
                <c:pt idx="2">
                  <c:v>13705866.310000001</c:v>
                </c:pt>
                <c:pt idx="3">
                  <c:v>16055745.460000001</c:v>
                </c:pt>
                <c:pt idx="4">
                  <c:v>15619442</c:v>
                </c:pt>
                <c:pt idx="5">
                  <c:v>15616990</c:v>
                </c:pt>
                <c:pt idx="6">
                  <c:v>23931439</c:v>
                </c:pt>
                <c:pt idx="7">
                  <c:v>21310789</c:v>
                </c:pt>
                <c:pt idx="8">
                  <c:v>20000000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'Revenue Trend data'!$B$8</c:f>
              <c:strCache>
                <c:ptCount val="1"/>
                <c:pt idx="0">
                  <c:v>Auxiliary Revenue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'Revenue Trend data'!$C$5:$K$5</c:f>
              <c:strCache>
                <c:ptCount val="9"/>
                <c:pt idx="0">
                  <c:v>2008-09</c:v>
                </c:pt>
                <c:pt idx="1">
                  <c:v>2009-10</c:v>
                </c:pt>
                <c:pt idx="2">
                  <c:v>2010-11</c:v>
                </c:pt>
                <c:pt idx="3">
                  <c:v>2011-12</c:v>
                </c:pt>
                <c:pt idx="4">
                  <c:v>2012-13</c:v>
                </c:pt>
                <c:pt idx="5">
                  <c:v>2013-14</c:v>
                </c:pt>
                <c:pt idx="6">
                  <c:v>2014-15</c:v>
                </c:pt>
                <c:pt idx="7">
                  <c:v>2015-16</c:v>
                </c:pt>
                <c:pt idx="8">
                  <c:v>2016-17</c:v>
                </c:pt>
              </c:strCache>
            </c:strRef>
          </c:cat>
          <c:val>
            <c:numRef>
              <c:f>'Revenue Trend data'!$C$8:$K$8</c:f>
              <c:numCache>
                <c:formatCode>_(* #,##0_);_(* \(#,##0\);_(* "-"??_);_(@_)</c:formatCode>
                <c:ptCount val="9"/>
                <c:pt idx="0">
                  <c:v>7189336</c:v>
                </c:pt>
                <c:pt idx="1">
                  <c:v>7333122.7199999997</c:v>
                </c:pt>
                <c:pt idx="2">
                  <c:v>8321138.4100000001</c:v>
                </c:pt>
                <c:pt idx="3">
                  <c:v>9882540.8100000005</c:v>
                </c:pt>
                <c:pt idx="4">
                  <c:v>14353369</c:v>
                </c:pt>
                <c:pt idx="5">
                  <c:v>11752089</c:v>
                </c:pt>
                <c:pt idx="6">
                  <c:v>13105598</c:v>
                </c:pt>
                <c:pt idx="7">
                  <c:v>11346387</c:v>
                </c:pt>
                <c:pt idx="8">
                  <c:v>10000000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'Revenue Trend data'!$B$9</c:f>
              <c:strCache>
                <c:ptCount val="1"/>
                <c:pt idx="0">
                  <c:v>Tuition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'Revenue Trend data'!$C$5:$K$5</c:f>
              <c:strCache>
                <c:ptCount val="9"/>
                <c:pt idx="0">
                  <c:v>2008-09</c:v>
                </c:pt>
                <c:pt idx="1">
                  <c:v>2009-10</c:v>
                </c:pt>
                <c:pt idx="2">
                  <c:v>2010-11</c:v>
                </c:pt>
                <c:pt idx="3">
                  <c:v>2011-12</c:v>
                </c:pt>
                <c:pt idx="4">
                  <c:v>2012-13</c:v>
                </c:pt>
                <c:pt idx="5">
                  <c:v>2013-14</c:v>
                </c:pt>
                <c:pt idx="6">
                  <c:v>2014-15</c:v>
                </c:pt>
                <c:pt idx="7">
                  <c:v>2015-16</c:v>
                </c:pt>
                <c:pt idx="8">
                  <c:v>2016-17</c:v>
                </c:pt>
              </c:strCache>
            </c:strRef>
          </c:cat>
          <c:val>
            <c:numRef>
              <c:f>'Revenue Trend data'!$C$9:$K$9</c:f>
              <c:numCache>
                <c:formatCode>_(* #,##0_);_(* \(#,##0\);_(* "-"??_);_(@_)</c:formatCode>
                <c:ptCount val="9"/>
                <c:pt idx="0">
                  <c:v>25586735</c:v>
                </c:pt>
                <c:pt idx="1">
                  <c:v>26984901</c:v>
                </c:pt>
                <c:pt idx="2">
                  <c:v>32044273</c:v>
                </c:pt>
                <c:pt idx="3">
                  <c:v>32813127</c:v>
                </c:pt>
                <c:pt idx="4">
                  <c:v>35813578</c:v>
                </c:pt>
                <c:pt idx="5">
                  <c:v>41175983</c:v>
                </c:pt>
                <c:pt idx="6">
                  <c:v>34717734</c:v>
                </c:pt>
                <c:pt idx="7">
                  <c:v>31854703</c:v>
                </c:pt>
                <c:pt idx="8">
                  <c:v>31956243.000000004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338344"/>
        <c:axId val="199336776"/>
      </c:lineChart>
      <c:catAx>
        <c:axId val="199338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336776"/>
        <c:crosses val="autoZero"/>
        <c:auto val="1"/>
        <c:lblAlgn val="ctr"/>
        <c:lblOffset val="100"/>
        <c:noMultiLvlLbl val="0"/>
      </c:catAx>
      <c:valAx>
        <c:axId val="199336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338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85725</xdr:colOff>
      <xdr:row>0</xdr:row>
      <xdr:rowOff>76200</xdr:rowOff>
    </xdr:from>
    <xdr:to>
      <xdr:col>33</xdr:col>
      <xdr:colOff>545497</xdr:colOff>
      <xdr:row>1</xdr:row>
      <xdr:rowOff>310563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5" y="76200"/>
          <a:ext cx="3298222" cy="5486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14</xdr:row>
      <xdr:rowOff>142875</xdr:rowOff>
    </xdr:from>
    <xdr:to>
      <xdr:col>10</xdr:col>
      <xdr:colOff>371475</xdr:colOff>
      <xdr:row>44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iness%20Finance/BUDGET%20&amp;%20REPORTING/OPERATING/1617/District%20Allocations/Allocation%20%235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usiness%20Finance/BUDGET%20&amp;%20REPORTING/OPERATING/1516/District%20Allocations/FY1516%20District%20Allocation%20%20%2311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usiness%20Finance/BUDGET%20&amp;%20REPORTING/OPERATING/1415/District%20Allocations/FY1415%20District%20Allocation%20%23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usiness%20Finance/BUDGET%20&amp;%20REPORTING/OPERATING/1314/District%20Allocations/FY1314%20District%20Allocation%20%2310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Business%20Finance/BUDGET%20&amp;%20REPORTING/OPERATING/1213/District%20Allocations/FY1213%20District%20Allocation%20%23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Budget Summary"/>
      <sheetName val="Earmarks 1617"/>
      <sheetName val="Perm 001  FY1617"/>
      <sheetName val="Temp 001  FY1617"/>
      <sheetName val="Allocation 5A Worksheet"/>
      <sheetName val="Total State 1617"/>
      <sheetName val="149  Tuition - Indirects  1617"/>
      <sheetName val="Total Operating Allocation"/>
      <sheetName val="Siegal Center Allocation"/>
      <sheetName val="STEP  8  - FY 1617"/>
      <sheetName val="Step 1 - FY 1617"/>
      <sheetName val="Step 3  FY 1617"/>
      <sheetName val="Step 4  FY 1617"/>
      <sheetName val="Step 5 - FY 1617"/>
      <sheetName val="Step 6 - FY 1617"/>
      <sheetName val="Step 7 -  Worker Retraining"/>
      <sheetName val="Step 7 - FY 1617"/>
      <sheetName val="FTES Calc By College #1"/>
      <sheetName val="FTES Calculation  FY 1617 "/>
      <sheetName val="FTES Calculation by College #3"/>
      <sheetName val="FTES Calcualtions by College #4"/>
      <sheetName val="FTES Calcualtions by College #5"/>
      <sheetName val="FTES Calcualtions by College #6"/>
      <sheetName val="Allocation #2 Worksheet"/>
      <sheetName val="Allocation #3 - Worksheet"/>
    </sheetNames>
    <sheetDataSet>
      <sheetData sheetId="0"/>
      <sheetData sheetId="1"/>
      <sheetData sheetId="2"/>
      <sheetData sheetId="3"/>
      <sheetData sheetId="4"/>
      <sheetData sheetId="5"/>
      <sheetData sheetId="6">
        <row r="37">
          <cell r="I37">
            <v>23022768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 Budget Summary"/>
      <sheetName val="Earmarks 1516"/>
      <sheetName val="Perm 001"/>
      <sheetName val="Temp 001"/>
      <sheetName val="TOTAL STATE"/>
      <sheetName val="TOTAL OPERATING ALLOC"/>
      <sheetName val="TUITION BUDGET  1516"/>
      <sheetName val="Tuition Est Change May 16 - 7A"/>
      <sheetName val="Alloc #7"/>
      <sheetName val="Alloc #11"/>
      <sheetName val="Temp Beg Alloc - Step 1"/>
      <sheetName val="Step 3 Wrksht 1516- 22,25,28,34"/>
      <sheetName val="Step 4 - #37, 38, 39 Allocation"/>
      <sheetName val="Stdnts of Color &amp; Disability "/>
      <sheetName val="CTC Link FY 1516 Expense"/>
      <sheetName val="Worker Training 1516"/>
      <sheetName val="Tuition Backfill"/>
      <sheetName val="1516 Extra Tuition Allocation"/>
      <sheetName val="Basic Skills Enhnmt  BSE  1516"/>
      <sheetName val="OPP GRANT 1516"/>
      <sheetName val="Earmarks 1415"/>
      <sheetName val="Tuition 1415"/>
      <sheetName val="OPP GRANT 1415"/>
      <sheetName val="WRT Adj"/>
      <sheetName val="Pension Rate "/>
      <sheetName val="Health Rate"/>
      <sheetName val="STEP M"/>
      <sheetName val="TIAA-CREF"/>
      <sheetName val="Instit"/>
      <sheetName val="BSE"/>
      <sheetName val="Headcount"/>
      <sheetName val="Worker Comp adj"/>
      <sheetName val="SAI"/>
    </sheetNames>
    <sheetDataSet>
      <sheetData sheetId="0"/>
      <sheetData sheetId="1"/>
      <sheetData sheetId="2"/>
      <sheetData sheetId="3"/>
      <sheetData sheetId="4"/>
      <sheetData sheetId="5">
        <row r="16">
          <cell r="D16">
            <v>42637895.594535187</v>
          </cell>
          <cell r="E16">
            <v>28446751.715021037</v>
          </cell>
          <cell r="F16">
            <v>29275464.181405455</v>
          </cell>
          <cell r="G16">
            <v>4246878.5090383226</v>
          </cell>
          <cell r="H16">
            <v>5669401</v>
          </cell>
          <cell r="I16">
            <v>2429454</v>
          </cell>
        </row>
        <row r="17">
          <cell r="D17">
            <v>5161495.1649402678</v>
          </cell>
          <cell r="E17">
            <v>5204579.3618679456</v>
          </cell>
          <cell r="F17">
            <v>5919250.8735330915</v>
          </cell>
          <cell r="G17">
            <v>947956.84213014739</v>
          </cell>
          <cell r="H17">
            <v>1131289.9256352256</v>
          </cell>
          <cell r="I17">
            <v>2519733.2318933215</v>
          </cell>
        </row>
        <row r="18">
          <cell r="D18">
            <v>47799390.759475455</v>
          </cell>
          <cell r="E18">
            <v>33651331.076888978</v>
          </cell>
          <cell r="F18">
            <v>35194715.054938547</v>
          </cell>
          <cell r="G18">
            <v>5194835.3511684705</v>
          </cell>
          <cell r="H18">
            <v>6800690.9256352261</v>
          </cell>
          <cell r="I18">
            <v>4949187.2318933215</v>
          </cell>
        </row>
        <row r="19">
          <cell r="D19">
            <v>-10594718</v>
          </cell>
          <cell r="E19">
            <v>-5030141</v>
          </cell>
          <cell r="F19">
            <v>-3139875</v>
          </cell>
          <cell r="G19">
            <v>-62119</v>
          </cell>
          <cell r="H19">
            <v>-1120785</v>
          </cell>
          <cell r="I19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rmarks"/>
      <sheetName val="Perm 001"/>
      <sheetName val="Temp 001"/>
      <sheetName val="TOTAL STATE"/>
      <sheetName val="TUITION"/>
      <sheetName val="TOTAL OPERATING ALLOC"/>
      <sheetName val="OPP GRANT"/>
      <sheetName val="WRT Adj"/>
      <sheetName val="ALloc #10 Worksheet"/>
      <sheetName val="Pension Rate "/>
      <sheetName val="Health Rate"/>
      <sheetName val="STEP M"/>
      <sheetName val="TIAA-CREF"/>
      <sheetName val="Instit"/>
      <sheetName val="BSE"/>
      <sheetName val="Headcount"/>
      <sheetName val="Worker Comp adj"/>
      <sheetName val="SAI"/>
    </sheetNames>
    <sheetDataSet>
      <sheetData sheetId="0"/>
      <sheetData sheetId="1"/>
      <sheetData sheetId="2"/>
      <sheetData sheetId="3"/>
      <sheetData sheetId="4"/>
      <sheetData sheetId="5">
        <row r="10">
          <cell r="B10">
            <v>43813036.905565426</v>
          </cell>
          <cell r="C10">
            <v>32436826.84655796</v>
          </cell>
          <cell r="D10">
            <v>34992353.386619002</v>
          </cell>
          <cell r="E10">
            <v>5048310.7641667621</v>
          </cell>
          <cell r="F10">
            <v>6343143.9786369167</v>
          </cell>
          <cell r="G10">
            <v>4601720.1184539348</v>
          </cell>
        </row>
        <row r="14">
          <cell r="B14">
            <v>37410506</v>
          </cell>
          <cell r="C14">
            <v>26608883</v>
          </cell>
          <cell r="D14">
            <v>28142021</v>
          </cell>
          <cell r="E14">
            <v>4070567</v>
          </cell>
          <cell r="F14">
            <v>5407103</v>
          </cell>
          <cell r="G14">
            <v>2289718</v>
          </cell>
        </row>
        <row r="15">
          <cell r="B15">
            <v>6402530.9055654285</v>
          </cell>
          <cell r="C15">
            <v>5827943.8465579581</v>
          </cell>
          <cell r="D15">
            <v>6850332.3866189988</v>
          </cell>
          <cell r="E15">
            <v>977743.76416676189</v>
          </cell>
          <cell r="F15">
            <v>936040.97863691684</v>
          </cell>
          <cell r="G15">
            <v>2312002.1184539348</v>
          </cell>
        </row>
        <row r="17">
          <cell r="B17">
            <v>-7756526</v>
          </cell>
          <cell r="C17">
            <v>-4529228</v>
          </cell>
          <cell r="D17">
            <v>-2921210</v>
          </cell>
          <cell r="E17">
            <v>-62119</v>
          </cell>
          <cell r="F17">
            <v>-900000</v>
          </cell>
          <cell r="G17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rmarks"/>
      <sheetName val="Perm 001"/>
      <sheetName val="Temp 001"/>
      <sheetName val="TOTAL STATE"/>
      <sheetName val="TUITION"/>
      <sheetName val="TOTAL OPERATING ALLOC"/>
      <sheetName val="OPP GRANT"/>
      <sheetName val="WRT Adj"/>
      <sheetName val="Pension Rate "/>
      <sheetName val="Health Rate"/>
      <sheetName val="STEP M"/>
      <sheetName val="3E0 Move"/>
      <sheetName val="Instit"/>
      <sheetName val="Std Init"/>
      <sheetName val="BSE"/>
      <sheetName val="Headcount"/>
      <sheetName val="Worker Comp adj"/>
    </sheetNames>
    <sheetDataSet>
      <sheetData sheetId="0"/>
      <sheetData sheetId="1"/>
      <sheetData sheetId="2"/>
      <sheetData sheetId="3"/>
      <sheetData sheetId="4">
        <row r="24">
          <cell r="C24">
            <v>7700316</v>
          </cell>
          <cell r="D24">
            <v>4089511</v>
          </cell>
          <cell r="E24">
            <v>2615671</v>
          </cell>
          <cell r="F24">
            <v>62119</v>
          </cell>
          <cell r="G24">
            <v>650000</v>
          </cell>
          <cell r="H24">
            <v>0</v>
          </cell>
        </row>
      </sheetData>
      <sheetData sheetId="5">
        <row r="10">
          <cell r="B10">
            <v>43051280</v>
          </cell>
          <cell r="C10">
            <v>30257427</v>
          </cell>
          <cell r="D10">
            <v>34640473</v>
          </cell>
          <cell r="E10">
            <v>4822133</v>
          </cell>
          <cell r="F10">
            <v>6295534</v>
          </cell>
          <cell r="G10">
            <v>4976321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rmarks"/>
      <sheetName val="Perm 001"/>
      <sheetName val="Temp 001"/>
      <sheetName val="TOTAL STATE"/>
      <sheetName val="TUITION"/>
      <sheetName val="TOTAL OPERATING ALLOC"/>
      <sheetName val="WRT Adj"/>
    </sheetNames>
    <sheetDataSet>
      <sheetData sheetId="0"/>
      <sheetData sheetId="1"/>
      <sheetData sheetId="2"/>
      <sheetData sheetId="3"/>
      <sheetData sheetId="4">
        <row r="22">
          <cell r="C22">
            <v>7579544</v>
          </cell>
          <cell r="D22">
            <v>4307587</v>
          </cell>
          <cell r="E22">
            <v>2489825</v>
          </cell>
          <cell r="F22">
            <v>62119</v>
          </cell>
          <cell r="G22">
            <v>650000</v>
          </cell>
          <cell r="H22">
            <v>0</v>
          </cell>
        </row>
      </sheetData>
      <sheetData sheetId="5">
        <row r="10">
          <cell r="B10">
            <v>39246682.586999997</v>
          </cell>
          <cell r="C10">
            <v>28042284.774999999</v>
          </cell>
          <cell r="D10">
            <v>32489402.892999999</v>
          </cell>
          <cell r="E10">
            <v>4470962.7450000001</v>
          </cell>
          <cell r="F10">
            <v>6022010</v>
          </cell>
          <cell r="G10">
            <v>4776058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13" workbookViewId="0">
      <selection activeCell="D26" sqref="D26"/>
    </sheetView>
  </sheetViews>
  <sheetFormatPr defaultRowHeight="15" x14ac:dyDescent="0.25"/>
  <cols>
    <col min="1" max="1" width="4.5703125" customWidth="1"/>
    <col min="2" max="2" width="5.28515625" customWidth="1"/>
    <col min="3" max="3" width="5" customWidth="1"/>
    <col min="4" max="4" width="27.5703125" customWidth="1"/>
    <col min="5" max="5" width="2.85546875" style="18" customWidth="1"/>
    <col min="6" max="6" width="19.28515625" style="19" customWidth="1"/>
    <col min="7" max="7" width="2.5703125" style="19" customWidth="1"/>
    <col min="8" max="8" width="18.85546875" style="19" customWidth="1"/>
    <col min="9" max="9" width="2.42578125" style="18" customWidth="1"/>
    <col min="10" max="10" width="11.5703125" customWidth="1"/>
    <col min="11" max="11" width="28.140625" style="1" customWidth="1"/>
    <col min="13" max="13" width="12.7109375" bestFit="1" customWidth="1"/>
  </cols>
  <sheetData>
    <row r="1" spans="1:13" ht="22.5" x14ac:dyDescent="0.45">
      <c r="A1" s="233" t="s">
        <v>0</v>
      </c>
      <c r="B1" s="233"/>
      <c r="C1" s="233"/>
      <c r="D1" s="233"/>
      <c r="E1" s="233"/>
      <c r="F1" s="233"/>
      <c r="G1" s="233"/>
      <c r="H1" s="233"/>
      <c r="I1" s="233"/>
      <c r="J1" s="233"/>
    </row>
    <row r="2" spans="1:13" ht="22.5" x14ac:dyDescent="0.45">
      <c r="A2" s="233" t="s">
        <v>43</v>
      </c>
      <c r="B2" s="233"/>
      <c r="C2" s="233"/>
      <c r="D2" s="233"/>
      <c r="E2" s="233"/>
      <c r="F2" s="233"/>
      <c r="G2" s="233"/>
      <c r="H2" s="233"/>
      <c r="I2" s="233"/>
      <c r="J2" s="233"/>
    </row>
    <row r="3" spans="1:13" ht="22.5" x14ac:dyDescent="0.45">
      <c r="A3" s="233" t="s">
        <v>34</v>
      </c>
      <c r="B3" s="233"/>
      <c r="C3" s="233"/>
      <c r="D3" s="233"/>
      <c r="E3" s="233"/>
      <c r="F3" s="233"/>
      <c r="G3" s="233"/>
      <c r="H3" s="233"/>
      <c r="I3" s="233"/>
      <c r="J3" s="233"/>
    </row>
    <row r="5" spans="1:13" s="7" customFormat="1" ht="15.75" x14ac:dyDescent="0.25">
      <c r="A5" s="3"/>
      <c r="B5" s="3"/>
      <c r="C5" s="3"/>
      <c r="D5" s="3"/>
      <c r="E5" s="3"/>
      <c r="F5" s="4" t="s">
        <v>10</v>
      </c>
      <c r="G5" s="4"/>
      <c r="H5" s="4" t="s">
        <v>1</v>
      </c>
      <c r="I5" s="5"/>
      <c r="J5" s="5" t="s">
        <v>2</v>
      </c>
      <c r="K5" s="54" t="s">
        <v>27</v>
      </c>
    </row>
    <row r="6" spans="1:13" s="2" customFormat="1" ht="17.25" x14ac:dyDescent="0.4">
      <c r="E6" s="8"/>
      <c r="F6" s="9"/>
      <c r="G6" s="10"/>
      <c r="H6" s="9"/>
      <c r="I6" s="8"/>
      <c r="J6" s="11"/>
      <c r="K6" s="6"/>
    </row>
    <row r="7" spans="1:13" s="17" customFormat="1" ht="18.75" x14ac:dyDescent="0.3">
      <c r="A7" s="12" t="s">
        <v>35</v>
      </c>
      <c r="B7" s="13"/>
      <c r="C7" s="14"/>
      <c r="D7" s="14"/>
      <c r="E7" s="15"/>
      <c r="F7" s="16"/>
      <c r="G7" s="16"/>
      <c r="H7" s="16"/>
      <c r="I7" s="15"/>
      <c r="K7" s="1"/>
    </row>
    <row r="8" spans="1:13" s="21" customFormat="1" ht="19.5" customHeight="1" x14ac:dyDescent="0.25">
      <c r="A8" s="20"/>
      <c r="B8" s="21" t="s">
        <v>11</v>
      </c>
      <c r="E8" s="22"/>
      <c r="F8" s="23">
        <v>70459039</v>
      </c>
      <c r="G8" s="23"/>
      <c r="H8" s="23">
        <v>74770180</v>
      </c>
      <c r="I8" s="22"/>
      <c r="J8" s="24">
        <f>(F8/H8)-1</f>
        <v>-5.7658561207155068E-2</v>
      </c>
      <c r="K8" s="1" t="s">
        <v>32</v>
      </c>
    </row>
    <row r="9" spans="1:13" s="21" customFormat="1" ht="19.5" customHeight="1" x14ac:dyDescent="0.25">
      <c r="A9" s="27"/>
      <c r="B9" s="21" t="s">
        <v>12</v>
      </c>
      <c r="E9" s="22"/>
      <c r="F9" s="28">
        <v>26233560</v>
      </c>
      <c r="G9" s="28"/>
      <c r="H9" s="28">
        <v>24908152</v>
      </c>
      <c r="I9" s="22"/>
      <c r="J9" s="24">
        <f t="shared" ref="J9:J16" si="0">(F9/H9)-1</f>
        <v>5.3211815954872899E-2</v>
      </c>
      <c r="K9" s="1" t="s">
        <v>39</v>
      </c>
      <c r="M9" s="58"/>
    </row>
    <row r="10" spans="1:13" s="21" customFormat="1" ht="19.5" customHeight="1" x14ac:dyDescent="0.25">
      <c r="A10" s="27"/>
      <c r="B10" s="21" t="s">
        <v>3</v>
      </c>
      <c r="E10" s="22"/>
      <c r="F10" s="28">
        <f>3300000+614000+373000+975000+475000+283092+1750000+425000+325000+73345+500000</f>
        <v>9093437</v>
      </c>
      <c r="G10" s="28"/>
      <c r="H10" s="28">
        <f>5925000+1464000+1440910</f>
        <v>8829910</v>
      </c>
      <c r="I10" s="22"/>
      <c r="J10" s="24">
        <f t="shared" si="0"/>
        <v>2.9844811555270745E-2</v>
      </c>
      <c r="K10" s="59"/>
    </row>
    <row r="11" spans="1:13" s="21" customFormat="1" ht="19.5" customHeight="1" x14ac:dyDescent="0.25">
      <c r="A11" s="27"/>
      <c r="B11" s="21" t="s">
        <v>41</v>
      </c>
      <c r="E11" s="22"/>
      <c r="F11" s="28">
        <v>805311</v>
      </c>
      <c r="G11" s="28"/>
      <c r="H11" s="28">
        <v>805311</v>
      </c>
      <c r="I11" s="22"/>
      <c r="J11" s="24">
        <f t="shared" si="0"/>
        <v>0</v>
      </c>
      <c r="K11" s="1"/>
    </row>
    <row r="12" spans="1:13" s="21" customFormat="1" ht="19.5" customHeight="1" x14ac:dyDescent="0.25">
      <c r="A12" s="27"/>
      <c r="B12" s="25" t="s">
        <v>4</v>
      </c>
      <c r="C12" s="25"/>
      <c r="D12" s="25"/>
      <c r="E12" s="22"/>
      <c r="F12" s="26">
        <v>1322600</v>
      </c>
      <c r="G12" s="28"/>
      <c r="H12" s="26">
        <v>1322600</v>
      </c>
      <c r="I12" s="22"/>
      <c r="J12" s="60">
        <f t="shared" si="0"/>
        <v>0</v>
      </c>
      <c r="K12" s="1"/>
    </row>
    <row r="13" spans="1:13" s="21" customFormat="1" ht="19.5" customHeight="1" x14ac:dyDescent="0.25">
      <c r="A13" s="27"/>
      <c r="C13" s="21" t="s">
        <v>5</v>
      </c>
      <c r="E13" s="22"/>
      <c r="F13" s="28">
        <f>SUM(F8:F12)</f>
        <v>107913947</v>
      </c>
      <c r="G13" s="28">
        <f t="shared" ref="G13" si="1">SUM(G8:G12)</f>
        <v>0</v>
      </c>
      <c r="H13" s="28">
        <f>SUM(H8:H12)</f>
        <v>110636153</v>
      </c>
      <c r="I13" s="22"/>
      <c r="J13" s="24">
        <f t="shared" si="0"/>
        <v>-2.4605031232421859E-2</v>
      </c>
      <c r="K13" s="1"/>
    </row>
    <row r="14" spans="1:13" s="22" customFormat="1" ht="19.5" customHeight="1" x14ac:dyDescent="0.25">
      <c r="A14" s="55"/>
      <c r="B14" s="22" t="s">
        <v>6</v>
      </c>
      <c r="F14" s="28">
        <v>5533975</v>
      </c>
      <c r="G14" s="28"/>
      <c r="H14" s="28">
        <f>5006880+589858+5360</f>
        <v>5602098</v>
      </c>
      <c r="J14" s="56">
        <f t="shared" ref="J14" si="2">(F14/H14)-1</f>
        <v>-1.2160265671896542E-2</v>
      </c>
      <c r="K14" s="57"/>
    </row>
    <row r="15" spans="1:13" s="21" customFormat="1" ht="19.5" customHeight="1" x14ac:dyDescent="0.25">
      <c r="A15" s="27"/>
      <c r="B15" s="25" t="s">
        <v>42</v>
      </c>
      <c r="C15" s="25"/>
      <c r="D15" s="25"/>
      <c r="E15" s="22"/>
      <c r="F15" s="26">
        <v>0</v>
      </c>
      <c r="G15" s="28"/>
      <c r="H15" s="26">
        <v>-1200000</v>
      </c>
      <c r="I15" s="22"/>
      <c r="J15" s="60">
        <f t="shared" si="0"/>
        <v>-1</v>
      </c>
      <c r="K15" s="59"/>
    </row>
    <row r="16" spans="1:13" s="31" customFormat="1" ht="26.25" customHeight="1" thickBot="1" x14ac:dyDescent="0.35">
      <c r="A16" s="29"/>
      <c r="B16" s="30" t="s">
        <v>7</v>
      </c>
      <c r="E16" s="32"/>
      <c r="F16" s="33">
        <f>SUM(F13:F15)</f>
        <v>113447922</v>
      </c>
      <c r="G16" s="34"/>
      <c r="H16" s="33">
        <f>SUM(H13:H15)</f>
        <v>115038251</v>
      </c>
      <c r="I16" s="32"/>
      <c r="J16" s="61">
        <f t="shared" si="0"/>
        <v>-1.3824349606984199E-2</v>
      </c>
      <c r="M16" s="62">
        <f>H16-115005275</f>
        <v>32976</v>
      </c>
    </row>
    <row r="17" spans="1:14" ht="15.75" thickTop="1" x14ac:dyDescent="0.25">
      <c r="A17" s="35"/>
      <c r="F17" s="36"/>
      <c r="G17" s="36"/>
      <c r="H17" s="36"/>
      <c r="J17" s="37"/>
      <c r="M17">
        <f>5925000+1464000+1440910</f>
        <v>8829910</v>
      </c>
    </row>
    <row r="18" spans="1:14" ht="18.75" x14ac:dyDescent="0.3">
      <c r="A18" s="12" t="s">
        <v>13</v>
      </c>
      <c r="F18" s="36"/>
      <c r="G18" s="36"/>
      <c r="H18" s="36"/>
      <c r="J18" s="38"/>
      <c r="M18">
        <f>805311+1322600</f>
        <v>2127911</v>
      </c>
      <c r="N18">
        <v>2094935</v>
      </c>
    </row>
    <row r="19" spans="1:14" ht="19.5" customHeight="1" x14ac:dyDescent="0.25">
      <c r="A19" s="27"/>
      <c r="B19" s="21" t="s">
        <v>14</v>
      </c>
      <c r="C19" s="21"/>
      <c r="D19" s="21"/>
      <c r="E19" s="22"/>
      <c r="F19" s="39">
        <v>2546810</v>
      </c>
      <c r="G19" s="40"/>
      <c r="H19" s="39">
        <v>2414998</v>
      </c>
      <c r="I19" s="22"/>
      <c r="J19" s="24">
        <f t="shared" ref="J19:J21" si="3">(F19/H19)-1</f>
        <v>5.4580583503588853E-2</v>
      </c>
      <c r="K19" s="52" t="s">
        <v>18</v>
      </c>
    </row>
    <row r="20" spans="1:14" ht="19.5" customHeight="1" x14ac:dyDescent="0.25">
      <c r="A20" s="27"/>
      <c r="B20" s="21" t="s">
        <v>15</v>
      </c>
      <c r="C20" s="21"/>
      <c r="D20" s="21"/>
      <c r="E20" s="22"/>
      <c r="F20" s="39">
        <f>1445659+1459901+3300000+2032100+1106142</f>
        <v>9343802</v>
      </c>
      <c r="G20" s="40"/>
      <c r="H20" s="39">
        <v>9066240</v>
      </c>
      <c r="I20" s="22"/>
      <c r="J20" s="24">
        <f t="shared" si="3"/>
        <v>3.0614896583368578E-2</v>
      </c>
      <c r="K20" s="1" t="s">
        <v>33</v>
      </c>
    </row>
    <row r="21" spans="1:14" ht="19.5" customHeight="1" x14ac:dyDescent="0.25">
      <c r="A21" s="27"/>
      <c r="B21" s="25" t="s">
        <v>16</v>
      </c>
      <c r="C21" s="25"/>
      <c r="D21" s="25"/>
      <c r="E21" s="22"/>
      <c r="F21" s="41">
        <f>H21*0.98</f>
        <v>10876399.66</v>
      </c>
      <c r="G21" s="39"/>
      <c r="H21" s="41">
        <v>11098367</v>
      </c>
      <c r="I21" s="22"/>
      <c r="J21" s="60">
        <f t="shared" si="3"/>
        <v>-2.0000000000000018E-2</v>
      </c>
      <c r="K21" s="1" t="s">
        <v>40</v>
      </c>
    </row>
    <row r="22" spans="1:14" s="31" customFormat="1" ht="26.25" customHeight="1" thickBot="1" x14ac:dyDescent="0.35">
      <c r="A22" s="29"/>
      <c r="B22" s="30" t="s">
        <v>21</v>
      </c>
      <c r="E22" s="32"/>
      <c r="F22" s="33">
        <f>SUM(F19:F21)</f>
        <v>22767011.66</v>
      </c>
      <c r="G22" s="34"/>
      <c r="H22" s="33">
        <f>SUM(H19:H21)</f>
        <v>22579605</v>
      </c>
      <c r="I22" s="32"/>
      <c r="J22" s="61">
        <f>(F22/H22)-1</f>
        <v>8.2998201252857395E-3</v>
      </c>
    </row>
    <row r="23" spans="1:14" ht="15.75" thickTop="1" x14ac:dyDescent="0.25">
      <c r="J23" s="37"/>
    </row>
    <row r="24" spans="1:14" s="12" customFormat="1" ht="18.75" x14ac:dyDescent="0.3">
      <c r="A24" s="12" t="s">
        <v>20</v>
      </c>
      <c r="E24" s="42"/>
      <c r="F24" s="43"/>
      <c r="G24" s="43"/>
      <c r="H24" s="43"/>
      <c r="I24" s="42"/>
      <c r="J24" s="44"/>
      <c r="K24" s="1"/>
    </row>
    <row r="25" spans="1:14" ht="19.5" customHeight="1" x14ac:dyDescent="0.25">
      <c r="A25" s="27"/>
      <c r="B25" s="21" t="s">
        <v>23</v>
      </c>
      <c r="C25" s="21"/>
      <c r="D25" s="21"/>
      <c r="E25" s="22"/>
      <c r="F25" s="39">
        <f>H25*1.02</f>
        <v>5749472.7599999998</v>
      </c>
      <c r="G25" s="40"/>
      <c r="H25" s="39">
        <v>5636738</v>
      </c>
      <c r="I25" s="22"/>
      <c r="J25" s="24">
        <f t="shared" ref="J25:J28" si="4">(F25/H25)-1</f>
        <v>2.0000000000000018E-2</v>
      </c>
      <c r="K25" s="1" t="s">
        <v>17</v>
      </c>
    </row>
    <row r="26" spans="1:14" ht="19.5" customHeight="1" x14ac:dyDescent="0.25">
      <c r="A26" s="27"/>
      <c r="B26" s="21" t="s">
        <v>24</v>
      </c>
      <c r="C26" s="21"/>
      <c r="D26" s="21"/>
      <c r="E26" s="22"/>
      <c r="F26" s="39">
        <f>H26*1.02</f>
        <v>2928129.3000000003</v>
      </c>
      <c r="G26" s="40"/>
      <c r="H26" s="39">
        <v>2870715</v>
      </c>
      <c r="I26" s="22"/>
      <c r="J26" s="24">
        <f t="shared" si="4"/>
        <v>2.0000000000000018E-2</v>
      </c>
      <c r="K26" s="1" t="s">
        <v>17</v>
      </c>
      <c r="N26" s="53"/>
    </row>
    <row r="27" spans="1:14" ht="19.5" customHeight="1" x14ac:dyDescent="0.25">
      <c r="A27" s="27"/>
      <c r="B27" s="25" t="s">
        <v>25</v>
      </c>
      <c r="C27" s="25"/>
      <c r="D27" s="25"/>
      <c r="E27" s="22"/>
      <c r="F27" s="41">
        <f>H27*1.02</f>
        <v>1611543.9000000001</v>
      </c>
      <c r="G27" s="40"/>
      <c r="H27" s="41">
        <v>1579945</v>
      </c>
      <c r="I27" s="22"/>
      <c r="J27" s="60">
        <f t="shared" si="4"/>
        <v>2.0000000000000018E-2</v>
      </c>
      <c r="K27" s="1" t="s">
        <v>17</v>
      </c>
    </row>
    <row r="28" spans="1:14" s="31" customFormat="1" ht="26.25" customHeight="1" thickBot="1" x14ac:dyDescent="0.35">
      <c r="A28" s="29"/>
      <c r="B28" s="30" t="s">
        <v>22</v>
      </c>
      <c r="E28" s="32"/>
      <c r="F28" s="33">
        <f>SUM(F25:F27)</f>
        <v>10289145.960000001</v>
      </c>
      <c r="G28" s="34"/>
      <c r="H28" s="33">
        <f>SUM(H25:H27)</f>
        <v>10087398</v>
      </c>
      <c r="I28" s="32"/>
      <c r="J28" s="61">
        <f t="shared" si="4"/>
        <v>2.0000000000000018E-2</v>
      </c>
    </row>
    <row r="29" spans="1:14" ht="15.75" thickTop="1" x14ac:dyDescent="0.25"/>
    <row r="30" spans="1:14" s="12" customFormat="1" ht="18.75" x14ac:dyDescent="0.3">
      <c r="A30" s="12" t="s">
        <v>26</v>
      </c>
      <c r="E30" s="42"/>
      <c r="F30" s="43"/>
      <c r="G30" s="43"/>
      <c r="H30" s="43"/>
      <c r="I30" s="42"/>
      <c r="J30" s="44"/>
      <c r="K30" s="1"/>
    </row>
    <row r="31" spans="1:14" ht="19.5" customHeight="1" x14ac:dyDescent="0.25">
      <c r="A31" s="27"/>
      <c r="B31" s="21" t="s">
        <v>28</v>
      </c>
      <c r="C31" s="21"/>
      <c r="D31" s="21"/>
      <c r="E31" s="22"/>
      <c r="F31" s="39">
        <f>1130000+765000+591135</f>
        <v>2486135</v>
      </c>
      <c r="G31" s="40"/>
      <c r="H31" s="39">
        <v>2465704</v>
      </c>
      <c r="I31" s="22"/>
      <c r="J31" s="24">
        <f t="shared" ref="J31:J37" si="5">(F31/H31)-1</f>
        <v>8.2860716452584082E-3</v>
      </c>
      <c r="K31" s="1" t="s">
        <v>31</v>
      </c>
    </row>
    <row r="32" spans="1:14" ht="19.5" customHeight="1" x14ac:dyDescent="0.25">
      <c r="A32" s="27"/>
      <c r="B32" s="21" t="s">
        <v>30</v>
      </c>
      <c r="C32" s="21"/>
      <c r="D32" s="21"/>
      <c r="E32" s="22"/>
      <c r="F32" s="39">
        <f>H32*1.02</f>
        <v>1512517.2</v>
      </c>
      <c r="G32" s="40">
        <v>1333498</v>
      </c>
      <c r="H32" s="39">
        <v>1482860</v>
      </c>
      <c r="I32" s="22"/>
      <c r="J32" s="24">
        <f t="shared" si="5"/>
        <v>2.0000000000000018E-2</v>
      </c>
      <c r="K32" s="57" t="s">
        <v>38</v>
      </c>
    </row>
    <row r="33" spans="1:14" ht="19.5" customHeight="1" x14ac:dyDescent="0.25">
      <c r="A33" s="27"/>
      <c r="B33" s="21" t="s">
        <v>8</v>
      </c>
      <c r="C33" s="21"/>
      <c r="D33" s="21"/>
      <c r="E33" s="22"/>
      <c r="F33" s="39">
        <f>H33*1.2</f>
        <v>3001307.64</v>
      </c>
      <c r="G33" s="40"/>
      <c r="H33" s="39">
        <v>2501089.7000000002</v>
      </c>
      <c r="I33" s="22"/>
      <c r="J33" s="24">
        <f t="shared" si="5"/>
        <v>0.19999999999999996</v>
      </c>
      <c r="K33" s="1" t="s">
        <v>19</v>
      </c>
      <c r="N33" s="53"/>
    </row>
    <row r="34" spans="1:14" s="18" customFormat="1" ht="19.5" customHeight="1" x14ac:dyDescent="0.25">
      <c r="A34" s="55"/>
      <c r="B34" s="22" t="s">
        <v>9</v>
      </c>
      <c r="C34" s="22"/>
      <c r="D34" s="22"/>
      <c r="E34" s="22"/>
      <c r="F34" s="39">
        <f>H34*1.02</f>
        <v>7333122.7199999997</v>
      </c>
      <c r="G34" s="39"/>
      <c r="H34" s="39">
        <v>7189336</v>
      </c>
      <c r="I34" s="22"/>
      <c r="J34" s="56">
        <f t="shared" ref="J34:J35" si="6">(F34/H34)-1</f>
        <v>2.0000000000000018E-2</v>
      </c>
      <c r="K34" s="57" t="s">
        <v>17</v>
      </c>
    </row>
    <row r="35" spans="1:14" s="18" customFormat="1" ht="19.5" customHeight="1" x14ac:dyDescent="0.25">
      <c r="A35" s="55"/>
      <c r="B35" s="22" t="s">
        <v>29</v>
      </c>
      <c r="C35" s="22"/>
      <c r="D35" s="22"/>
      <c r="E35" s="22"/>
      <c r="F35" s="39">
        <f>H35*1.02</f>
        <v>864921.24</v>
      </c>
      <c r="G35" s="39"/>
      <c r="H35" s="39">
        <v>847962</v>
      </c>
      <c r="I35" s="22"/>
      <c r="J35" s="56">
        <f t="shared" si="6"/>
        <v>2.0000000000000018E-2</v>
      </c>
      <c r="K35" s="57" t="s">
        <v>17</v>
      </c>
    </row>
    <row r="36" spans="1:14" ht="19.5" customHeight="1" x14ac:dyDescent="0.25">
      <c r="A36" s="27"/>
      <c r="B36" s="25" t="s">
        <v>44</v>
      </c>
      <c r="C36" s="25"/>
      <c r="D36" s="25"/>
      <c r="E36" s="22"/>
      <c r="F36" s="41">
        <f>H36*1.02</f>
        <v>296781.24</v>
      </c>
      <c r="G36" s="40"/>
      <c r="H36" s="41">
        <f>12880+278082</f>
        <v>290962</v>
      </c>
      <c r="I36" s="22"/>
      <c r="J36" s="60">
        <f t="shared" si="5"/>
        <v>2.0000000000000018E-2</v>
      </c>
      <c r="K36" s="1" t="s">
        <v>17</v>
      </c>
    </row>
    <row r="37" spans="1:14" s="31" customFormat="1" ht="26.25" customHeight="1" thickBot="1" x14ac:dyDescent="0.35">
      <c r="A37" s="29"/>
      <c r="B37" s="30" t="s">
        <v>36</v>
      </c>
      <c r="E37" s="32"/>
      <c r="F37" s="33">
        <f>SUM(F31:F36)</f>
        <v>15494785.039999999</v>
      </c>
      <c r="G37" s="34"/>
      <c r="H37" s="33">
        <f>SUM(H31:H36)</f>
        <v>14777913.699999999</v>
      </c>
      <c r="I37" s="32"/>
      <c r="J37" s="61">
        <f t="shared" si="5"/>
        <v>4.8509644497382487E-2</v>
      </c>
    </row>
    <row r="38" spans="1:14" s="45" customFormat="1" ht="19.5" thickTop="1" x14ac:dyDescent="0.3">
      <c r="E38" s="46"/>
      <c r="F38" s="47"/>
      <c r="G38" s="47"/>
      <c r="H38" s="47"/>
      <c r="I38" s="46"/>
      <c r="J38" s="48"/>
    </row>
    <row r="39" spans="1:14" s="31" customFormat="1" ht="19.5" thickBot="1" x14ac:dyDescent="0.35">
      <c r="A39" s="49" t="s">
        <v>37</v>
      </c>
      <c r="B39" s="49"/>
      <c r="C39" s="49"/>
      <c r="D39" s="49"/>
      <c r="E39" s="49"/>
      <c r="F39" s="50">
        <f>F16+F22+F37+F28</f>
        <v>161998864.66</v>
      </c>
      <c r="G39" s="50"/>
      <c r="H39" s="50">
        <f>H16+H22+H37+H28</f>
        <v>162483167.69999999</v>
      </c>
      <c r="I39" s="49"/>
      <c r="J39" s="51">
        <f>(H39/F39)-1</f>
        <v>2.9895458898210325E-3</v>
      </c>
    </row>
    <row r="40" spans="1:14" ht="15.75" thickTop="1" x14ac:dyDescent="0.25"/>
    <row r="45" spans="1:14" x14ac:dyDescent="0.25">
      <c r="F45" s="36"/>
      <c r="H45" s="36"/>
      <c r="J45" s="38"/>
    </row>
  </sheetData>
  <mergeCells count="3">
    <mergeCell ref="A1:J1"/>
    <mergeCell ref="A3:J3"/>
    <mergeCell ref="A2:J2"/>
  </mergeCells>
  <pageMargins left="0.45" right="0.45" top="0.5" bottom="0.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tabSelected="1" zoomScaleNormal="100" workbookViewId="0">
      <pane xSplit="5" ySplit="6" topLeftCell="T18" activePane="bottomRight" state="frozen"/>
      <selection pane="topRight" activeCell="F1" sqref="F1"/>
      <selection pane="bottomLeft" activeCell="A6" sqref="A6"/>
      <selection pane="bottomRight" activeCell="AJ34" sqref="AJ34"/>
    </sheetView>
  </sheetViews>
  <sheetFormatPr defaultRowHeight="12.75" x14ac:dyDescent="0.2"/>
  <cols>
    <col min="1" max="1" width="4.5703125" style="63" customWidth="1"/>
    <col min="2" max="2" width="5.28515625" style="63" customWidth="1"/>
    <col min="3" max="3" width="5" style="63" customWidth="1"/>
    <col min="4" max="4" width="20.7109375" style="63" customWidth="1"/>
    <col min="5" max="5" width="15" style="63" hidden="1" customWidth="1"/>
    <col min="6" max="6" width="15.7109375" style="63" hidden="1" customWidth="1"/>
    <col min="7" max="7" width="8.85546875" style="63" hidden="1" customWidth="1"/>
    <col min="8" max="8" width="13.140625" style="67" hidden="1" customWidth="1"/>
    <col min="9" max="9" width="8.42578125" style="67" hidden="1" customWidth="1"/>
    <col min="10" max="10" width="8.85546875" style="63" hidden="1" customWidth="1"/>
    <col min="11" max="11" width="13.140625" style="67" hidden="1" customWidth="1"/>
    <col min="12" max="12" width="8.42578125" style="67" hidden="1" customWidth="1"/>
    <col min="13" max="13" width="8.85546875" style="63" hidden="1" customWidth="1"/>
    <col min="14" max="14" width="13.140625" style="67" hidden="1" customWidth="1"/>
    <col min="15" max="15" width="8.42578125" style="67" hidden="1" customWidth="1"/>
    <col min="16" max="16" width="8.85546875" style="63" hidden="1" customWidth="1"/>
    <col min="17" max="17" width="13.140625" style="68" hidden="1" customWidth="1"/>
    <col min="18" max="18" width="8.42578125" style="68" hidden="1" customWidth="1"/>
    <col min="19" max="19" width="8.85546875" style="63" hidden="1" customWidth="1"/>
    <col min="20" max="20" width="13.140625" style="63" bestFit="1" customWidth="1"/>
    <col min="21" max="21" width="8.42578125" style="63" customWidth="1"/>
    <col min="22" max="22" width="8.85546875" style="80" customWidth="1"/>
    <col min="23" max="23" width="13.140625" style="68" bestFit="1" customWidth="1"/>
    <col min="24" max="24" width="9.7109375" style="80" customWidth="1"/>
    <col min="25" max="25" width="8.85546875" style="80" bestFit="1" customWidth="1"/>
    <col min="26" max="26" width="13.140625" style="63" bestFit="1" customWidth="1"/>
    <col min="27" max="28" width="10.5703125" style="80" customWidth="1"/>
    <col min="29" max="29" width="13.7109375" style="105" bestFit="1" customWidth="1"/>
    <col min="30" max="30" width="10" style="80" customWidth="1"/>
    <col min="31" max="31" width="8.85546875" style="63" bestFit="1" customWidth="1"/>
    <col min="32" max="32" width="14.85546875" style="109" customWidth="1"/>
    <col min="33" max="35" width="8.85546875" style="109" customWidth="1"/>
    <col min="36" max="36" width="10.7109375" style="151" bestFit="1" customWidth="1"/>
    <col min="37" max="37" width="8.85546875" style="109" customWidth="1"/>
    <col min="38" max="38" width="14.5703125" style="109" bestFit="1" customWidth="1"/>
    <col min="39" max="16384" width="9.140625" style="63"/>
  </cols>
  <sheetData>
    <row r="1" spans="1:39" ht="24.75" x14ac:dyDescent="0.5">
      <c r="A1" s="137" t="s">
        <v>159</v>
      </c>
      <c r="B1" s="137"/>
      <c r="C1" s="81"/>
      <c r="D1" s="81"/>
      <c r="E1" s="81"/>
      <c r="F1" s="81"/>
      <c r="H1" s="81"/>
      <c r="I1" s="81"/>
      <c r="K1" s="81"/>
      <c r="L1" s="81"/>
      <c r="N1" s="81"/>
      <c r="O1" s="81"/>
      <c r="Q1" s="81"/>
      <c r="R1" s="81"/>
    </row>
    <row r="2" spans="1:39" ht="27.75" x14ac:dyDescent="0.5">
      <c r="A2" s="137" t="s">
        <v>43</v>
      </c>
      <c r="B2" s="137"/>
      <c r="C2" s="81"/>
      <c r="D2" s="81"/>
      <c r="E2" s="81"/>
      <c r="F2" s="81"/>
      <c r="H2" s="81"/>
      <c r="I2" s="81"/>
      <c r="K2" s="81"/>
      <c r="L2" s="81"/>
      <c r="N2" s="81"/>
      <c r="O2" s="81"/>
      <c r="Q2" s="81"/>
      <c r="R2" s="81"/>
      <c r="W2" s="135"/>
    </row>
    <row r="3" spans="1:39" ht="25.5" thickBot="1" x14ac:dyDescent="0.55000000000000004">
      <c r="A3" s="137" t="s">
        <v>165</v>
      </c>
      <c r="B3" s="137"/>
      <c r="C3" s="81"/>
      <c r="D3" s="81"/>
      <c r="E3" s="81"/>
      <c r="F3" s="81"/>
      <c r="H3" s="81"/>
      <c r="I3" s="81"/>
      <c r="K3" s="81"/>
      <c r="L3" s="81"/>
      <c r="O3" s="81"/>
      <c r="Q3" s="81"/>
      <c r="R3" s="81"/>
    </row>
    <row r="4" spans="1:39" hidden="1" x14ac:dyDescent="0.2">
      <c r="T4" s="63">
        <v>40995982</v>
      </c>
      <c r="W4" s="68">
        <v>34717733</v>
      </c>
      <c r="Z4" s="63">
        <v>31823491</v>
      </c>
    </row>
    <row r="5" spans="1:39" s="129" customFormat="1" x14ac:dyDescent="0.2">
      <c r="A5" s="165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7"/>
      <c r="R5" s="167"/>
      <c r="S5" s="166"/>
      <c r="T5" s="168" t="s">
        <v>156</v>
      </c>
      <c r="U5" s="168"/>
      <c r="V5" s="169"/>
      <c r="W5" s="170" t="s">
        <v>156</v>
      </c>
      <c r="X5" s="169"/>
      <c r="Y5" s="169"/>
      <c r="Z5" s="168" t="s">
        <v>156</v>
      </c>
      <c r="AA5" s="169"/>
      <c r="AB5" s="169"/>
      <c r="AC5" s="170" t="s">
        <v>157</v>
      </c>
      <c r="AD5" s="169"/>
      <c r="AE5" s="168"/>
      <c r="AF5" s="171" t="s">
        <v>157</v>
      </c>
      <c r="AG5" s="172"/>
      <c r="AH5" s="173"/>
      <c r="AI5" s="140"/>
      <c r="AJ5" s="152"/>
      <c r="AK5" s="140"/>
      <c r="AL5" s="141"/>
    </row>
    <row r="6" spans="1:39" s="126" customFormat="1" x14ac:dyDescent="0.2">
      <c r="A6" s="174"/>
      <c r="E6" s="126" t="s">
        <v>46</v>
      </c>
      <c r="F6" s="127" t="s">
        <v>1</v>
      </c>
      <c r="G6" s="126" t="s">
        <v>64</v>
      </c>
      <c r="H6" s="127" t="s">
        <v>45</v>
      </c>
      <c r="I6" s="126" t="s">
        <v>63</v>
      </c>
      <c r="J6" s="126" t="s">
        <v>64</v>
      </c>
      <c r="K6" s="126" t="s">
        <v>47</v>
      </c>
      <c r="L6" s="126" t="s">
        <v>63</v>
      </c>
      <c r="M6" s="126" t="s">
        <v>64</v>
      </c>
      <c r="N6" s="126" t="s">
        <v>48</v>
      </c>
      <c r="O6" s="126" t="s">
        <v>63</v>
      </c>
      <c r="P6" s="126" t="s">
        <v>64</v>
      </c>
      <c r="Q6" s="126" t="s">
        <v>72</v>
      </c>
      <c r="R6" s="126" t="s">
        <v>63</v>
      </c>
      <c r="S6" s="126" t="s">
        <v>64</v>
      </c>
      <c r="T6" s="126" t="s">
        <v>66</v>
      </c>
      <c r="U6" s="126" t="s">
        <v>63</v>
      </c>
      <c r="V6" s="128" t="s">
        <v>64</v>
      </c>
      <c r="W6" s="127" t="s">
        <v>67</v>
      </c>
      <c r="X6" s="128" t="s">
        <v>63</v>
      </c>
      <c r="Y6" s="128" t="s">
        <v>64</v>
      </c>
      <c r="Z6" s="126" t="s">
        <v>149</v>
      </c>
      <c r="AA6" s="128" t="s">
        <v>63</v>
      </c>
      <c r="AB6" s="128" t="s">
        <v>64</v>
      </c>
      <c r="AC6" s="127" t="s">
        <v>148</v>
      </c>
      <c r="AD6" s="128" t="s">
        <v>63</v>
      </c>
      <c r="AE6" s="126" t="s">
        <v>64</v>
      </c>
      <c r="AF6" s="159" t="s">
        <v>163</v>
      </c>
      <c r="AG6" s="142" t="s">
        <v>63</v>
      </c>
      <c r="AH6" s="175" t="s">
        <v>64</v>
      </c>
      <c r="AI6" s="143"/>
      <c r="AJ6" s="153" t="s">
        <v>164</v>
      </c>
      <c r="AK6" s="143"/>
      <c r="AL6" s="143"/>
    </row>
    <row r="7" spans="1:39" s="64" customFormat="1" ht="47.25" hidden="1" x14ac:dyDescent="0.35">
      <c r="A7" s="176"/>
      <c r="B7" s="65"/>
      <c r="C7" s="65"/>
      <c r="D7" s="65"/>
      <c r="E7" s="177" t="s">
        <v>65</v>
      </c>
      <c r="F7" s="178"/>
      <c r="G7" s="178"/>
      <c r="H7" s="178"/>
      <c r="I7" s="65"/>
      <c r="J7" s="178"/>
      <c r="K7" s="65"/>
      <c r="L7" s="83"/>
      <c r="M7" s="179"/>
      <c r="N7" s="65"/>
      <c r="O7" s="65"/>
      <c r="P7" s="178"/>
      <c r="Q7" s="65"/>
      <c r="R7" s="178"/>
      <c r="S7" s="178"/>
      <c r="T7" s="65"/>
      <c r="U7" s="65"/>
      <c r="V7" s="180"/>
      <c r="W7" s="181"/>
      <c r="X7" s="180"/>
      <c r="Y7" s="180"/>
      <c r="Z7" s="65"/>
      <c r="AA7" s="180"/>
      <c r="AB7" s="180"/>
      <c r="AC7" s="227"/>
      <c r="AD7" s="180"/>
      <c r="AE7" s="65"/>
      <c r="AF7" s="144"/>
      <c r="AG7" s="182"/>
      <c r="AH7" s="183"/>
      <c r="AI7" s="145"/>
      <c r="AJ7" s="154"/>
      <c r="AK7" s="145"/>
      <c r="AL7" s="145"/>
    </row>
    <row r="8" spans="1:39" s="109" customFormat="1" ht="23.25" x14ac:dyDescent="0.35">
      <c r="A8" s="184" t="s">
        <v>35</v>
      </c>
      <c r="B8" s="185"/>
      <c r="C8" s="186"/>
      <c r="D8" s="186"/>
      <c r="E8" s="113"/>
      <c r="F8" s="78"/>
      <c r="G8" s="78"/>
      <c r="H8" s="78"/>
      <c r="I8" s="108"/>
      <c r="J8" s="78"/>
      <c r="K8" s="108"/>
      <c r="L8" s="108"/>
      <c r="M8" s="187"/>
      <c r="N8" s="108"/>
      <c r="O8" s="108"/>
      <c r="P8" s="78"/>
      <c r="Q8" s="108"/>
      <c r="R8" s="78"/>
      <c r="S8" s="78"/>
      <c r="T8" s="108"/>
      <c r="U8" s="108"/>
      <c r="V8" s="116"/>
      <c r="W8" s="78"/>
      <c r="X8" s="116"/>
      <c r="Y8" s="116"/>
      <c r="Z8" s="78"/>
      <c r="AA8" s="116"/>
      <c r="AB8" s="116"/>
      <c r="AC8" s="78"/>
      <c r="AD8" s="116"/>
      <c r="AE8" s="108"/>
      <c r="AF8" s="160"/>
      <c r="AG8" s="116"/>
      <c r="AH8" s="188"/>
      <c r="AJ8" s="151"/>
    </row>
    <row r="9" spans="1:39" s="109" customFormat="1" ht="19.5" customHeight="1" x14ac:dyDescent="0.2">
      <c r="A9" s="189"/>
      <c r="B9" s="108" t="s">
        <v>11</v>
      </c>
      <c r="C9" s="108"/>
      <c r="D9" s="108"/>
      <c r="E9" s="113" t="s">
        <v>32</v>
      </c>
      <c r="F9" s="78">
        <f>74770180+1322600+805311</f>
        <v>76898091</v>
      </c>
      <c r="G9" s="114">
        <f>F9/F17</f>
        <v>0.6908168115315837</v>
      </c>
      <c r="H9" s="78">
        <f>70459039+1322600+805311</f>
        <v>72586950</v>
      </c>
      <c r="I9" s="114">
        <f>(H9/F9)-1</f>
        <v>-5.6063043229512721E-2</v>
      </c>
      <c r="J9" s="114">
        <f>H9/H17</f>
        <v>0.66798654230778831</v>
      </c>
      <c r="K9" s="78">
        <f>70930384+3015+750662</f>
        <v>71684061</v>
      </c>
      <c r="L9" s="114">
        <f>(K9/H9)-1</f>
        <v>-1.2438723489552883E-2</v>
      </c>
      <c r="M9" s="114">
        <f>K9/K17</f>
        <v>0.62985150387418443</v>
      </c>
      <c r="N9" s="78">
        <f>59699408+1322600+675596</f>
        <v>61697604</v>
      </c>
      <c r="O9" s="114">
        <f>(N9/K9)-1</f>
        <v>-0.13931209896158092</v>
      </c>
      <c r="P9" s="114">
        <f>N9/N17</f>
        <v>0.582232178957378</v>
      </c>
      <c r="Q9" s="78">
        <f>55118379+1322600+633341</f>
        <v>57074320</v>
      </c>
      <c r="R9" s="114">
        <f t="shared" ref="R9:R20" si="0">(Q9/N9)-1</f>
        <v>-7.4934579307164073E-2</v>
      </c>
      <c r="S9" s="114">
        <f>Q9/Q17</f>
        <v>0.53338759699767846</v>
      </c>
      <c r="T9" s="78">
        <v>62232443</v>
      </c>
      <c r="U9" s="114">
        <f t="shared" ref="U9:U20" si="1">(T9/Q9)-1</f>
        <v>9.0375548933390615E-2</v>
      </c>
      <c r="V9" s="116">
        <f>T9/$T$17</f>
        <v>0.54085852823544833</v>
      </c>
      <c r="W9" s="78">
        <v>62009835</v>
      </c>
      <c r="X9" s="116">
        <f t="shared" ref="X9:X20" si="2">(W9/T9)-1</f>
        <v>-3.5770409977317064E-3</v>
      </c>
      <c r="Y9" s="116">
        <f>W9/$W$17</f>
        <v>0.5687210461428156</v>
      </c>
      <c r="Z9" s="78">
        <v>68887386</v>
      </c>
      <c r="AA9" s="116">
        <f t="shared" ref="AA9:AA20" si="3">(Z9/W9)-1</f>
        <v>0.11091064828667907</v>
      </c>
      <c r="AB9" s="116">
        <f>Z9/$Z$17</f>
        <v>0.57796412269658104</v>
      </c>
      <c r="AC9" s="78">
        <v>70117735</v>
      </c>
      <c r="AD9" s="116">
        <f t="shared" ref="AD9:AD20" si="4">(AC9/Z9)-1</f>
        <v>1.7860294481198524E-2</v>
      </c>
      <c r="AE9" s="116">
        <f t="shared" ref="AE9:AE17" si="5">AC9/$AC$17</f>
        <v>0.56214987712515563</v>
      </c>
      <c r="AF9" s="160">
        <f>AC9+709683+810965-540000-970000</f>
        <v>70128383</v>
      </c>
      <c r="AG9" s="116">
        <f t="shared" ref="AG9:AG14" si="6">(AF9/AC9)-1</f>
        <v>1.5185886994206754E-4</v>
      </c>
      <c r="AH9" s="190">
        <f>AF9/$AF$17</f>
        <v>0.56563859327301869</v>
      </c>
      <c r="AI9" s="115"/>
      <c r="AJ9" s="151">
        <f>AF9-AC9</f>
        <v>10648</v>
      </c>
      <c r="AK9" s="115"/>
      <c r="AL9" s="109" t="s">
        <v>155</v>
      </c>
    </row>
    <row r="10" spans="1:39" s="109" customFormat="1" ht="19.5" customHeight="1" x14ac:dyDescent="0.2">
      <c r="A10" s="191"/>
      <c r="B10" s="108" t="s">
        <v>12</v>
      </c>
      <c r="C10" s="108"/>
      <c r="D10" s="108"/>
      <c r="E10" s="113" t="s">
        <v>39</v>
      </c>
      <c r="F10" s="78">
        <v>25586735</v>
      </c>
      <c r="G10" s="114">
        <f>F10/F17</f>
        <v>0.22985936920337305</v>
      </c>
      <c r="H10" s="78">
        <v>26984901</v>
      </c>
      <c r="I10" s="114">
        <f>(H10/F10)-1</f>
        <v>5.4644174022203229E-2</v>
      </c>
      <c r="J10" s="114">
        <f>H10/H17</f>
        <v>0.24833046041344869</v>
      </c>
      <c r="K10" s="78">
        <v>32044273</v>
      </c>
      <c r="L10" s="114">
        <f>(K10/H10)-1</f>
        <v>0.18748899616122361</v>
      </c>
      <c r="M10" s="114">
        <f>K10/K17</f>
        <v>0.28155678205235785</v>
      </c>
      <c r="N10" s="78">
        <v>32813127</v>
      </c>
      <c r="O10" s="114">
        <f>(N10/K10)-1</f>
        <v>2.3993491754361163E-2</v>
      </c>
      <c r="P10" s="114">
        <f>N10/N17</f>
        <v>0.30965316629824347</v>
      </c>
      <c r="Q10" s="78"/>
      <c r="R10" s="114"/>
      <c r="S10" s="114"/>
      <c r="T10" s="78"/>
      <c r="U10" s="114"/>
      <c r="V10" s="116"/>
      <c r="W10" s="78"/>
      <c r="X10" s="116"/>
      <c r="Y10" s="116"/>
      <c r="Z10" s="78"/>
      <c r="AA10" s="116"/>
      <c r="AB10" s="116"/>
      <c r="AC10" s="78"/>
      <c r="AD10" s="116"/>
      <c r="AE10" s="116"/>
      <c r="AF10" s="160"/>
      <c r="AG10" s="116"/>
      <c r="AH10" s="190">
        <f t="shared" ref="AH10:AH16" si="7">AF10/$AF$17</f>
        <v>0</v>
      </c>
      <c r="AI10" s="115"/>
      <c r="AJ10" s="151">
        <f t="shared" ref="AJ10:AJ20" si="8">AF10-AC10</f>
        <v>0</v>
      </c>
      <c r="AK10" s="115"/>
    </row>
    <row r="11" spans="1:39" s="109" customFormat="1" ht="19.5" customHeight="1" x14ac:dyDescent="0.2">
      <c r="A11" s="191"/>
      <c r="B11" s="108" t="s">
        <v>152</v>
      </c>
      <c r="C11" s="108"/>
      <c r="D11" s="108"/>
      <c r="E11" s="113"/>
      <c r="F11" s="78"/>
      <c r="G11" s="114"/>
      <c r="H11" s="78"/>
      <c r="I11" s="114"/>
      <c r="J11" s="114"/>
      <c r="K11" s="78"/>
      <c r="L11" s="114"/>
      <c r="M11" s="114"/>
      <c r="N11" s="78"/>
      <c r="O11" s="114"/>
      <c r="P11" s="114"/>
      <c r="Q11" s="78">
        <f>'Tuition and cost rec detail'!H13</f>
        <v>31498011</v>
      </c>
      <c r="R11" s="114"/>
      <c r="S11" s="114"/>
      <c r="T11" s="78">
        <f>'Tuition and cost rec detail'!G13</f>
        <v>30882255</v>
      </c>
      <c r="U11" s="114">
        <f t="shared" si="1"/>
        <v>-1.9549043906296193E-2</v>
      </c>
      <c r="V11" s="116">
        <f>T11/$T$17</f>
        <v>0.26839587492799882</v>
      </c>
      <c r="W11" s="78">
        <f>'Tuition and cost rec detail'!F13</f>
        <v>30259811</v>
      </c>
      <c r="X11" s="116">
        <f t="shared" si="2"/>
        <v>-2.015539344520012E-2</v>
      </c>
      <c r="Y11" s="116">
        <f t="shared" ref="Y11:Y17" si="9">W11/$W$17</f>
        <v>0.27752680470773511</v>
      </c>
      <c r="Z11" s="78">
        <v>27824767</v>
      </c>
      <c r="AA11" s="116">
        <f t="shared" si="3"/>
        <v>-8.0471223035728845E-2</v>
      </c>
      <c r="AB11" s="116">
        <f t="shared" ref="AB11:AB17" si="10">Z11/$Z$17</f>
        <v>0.23344937269635663</v>
      </c>
      <c r="AC11" s="78">
        <f>30406243*AM11</f>
        <v>27687111.514789216</v>
      </c>
      <c r="AD11" s="116">
        <f t="shared" si="4"/>
        <v>-4.9472286761927942E-3</v>
      </c>
      <c r="AE11" s="116">
        <f t="shared" si="5"/>
        <v>0.22197388914501076</v>
      </c>
      <c r="AF11" s="160">
        <f>AC11-1500000-500000</f>
        <v>25687111.514789216</v>
      </c>
      <c r="AG11" s="116">
        <f t="shared" si="6"/>
        <v>-7.2235776524816941E-2</v>
      </c>
      <c r="AH11" s="190">
        <f t="shared" si="7"/>
        <v>0.20718603511038508</v>
      </c>
      <c r="AI11" s="115"/>
      <c r="AJ11" s="151">
        <f t="shared" si="8"/>
        <v>-2000000</v>
      </c>
      <c r="AK11" s="115"/>
      <c r="AL11" s="110">
        <f>W11+Z11</f>
        <v>58084578</v>
      </c>
      <c r="AM11" s="109">
        <f>AL11/AL13</f>
        <v>0.91057325019698143</v>
      </c>
    </row>
    <row r="12" spans="1:39" s="109" customFormat="1" ht="19.5" customHeight="1" x14ac:dyDescent="0.2">
      <c r="A12" s="191"/>
      <c r="B12" s="108" t="s">
        <v>153</v>
      </c>
      <c r="C12" s="108"/>
      <c r="D12" s="108"/>
      <c r="E12" s="113"/>
      <c r="F12" s="78"/>
      <c r="G12" s="114"/>
      <c r="H12" s="78"/>
      <c r="I12" s="114"/>
      <c r="J12" s="114"/>
      <c r="K12" s="78"/>
      <c r="L12" s="114"/>
      <c r="M12" s="114"/>
      <c r="N12" s="78"/>
      <c r="O12" s="114"/>
      <c r="P12" s="114"/>
      <c r="Q12" s="78">
        <f>'Tuition and cost rec detail'!H21</f>
        <v>3583094</v>
      </c>
      <c r="R12" s="114"/>
      <c r="S12" s="114"/>
      <c r="T12" s="78">
        <f>'Tuition and cost rec detail'!G21</f>
        <v>9447284</v>
      </c>
      <c r="U12" s="114">
        <f t="shared" si="1"/>
        <v>1.6366274510241707</v>
      </c>
      <c r="V12" s="116">
        <f>T12/$T$17</f>
        <v>8.2105793598080332E-2</v>
      </c>
      <c r="W12" s="78">
        <f>'Tuition and cost rec detail'!F21</f>
        <v>3289617</v>
      </c>
      <c r="X12" s="116">
        <f t="shared" si="2"/>
        <v>-0.65179230348108508</v>
      </c>
      <c r="Y12" s="116">
        <f t="shared" si="9"/>
        <v>3.0170607963223746E-2</v>
      </c>
      <c r="Z12" s="78">
        <v>2414828</v>
      </c>
      <c r="AA12" s="116">
        <f t="shared" si="3"/>
        <v>-0.26592427021139542</v>
      </c>
      <c r="AB12" s="116">
        <f t="shared" si="10"/>
        <v>2.0260370258252208E-2</v>
      </c>
      <c r="AC12" s="78">
        <f>30406243*AM12</f>
        <v>2719131.4852107861</v>
      </c>
      <c r="AD12" s="116">
        <f t="shared" si="4"/>
        <v>0.1260145588881636</v>
      </c>
      <c r="AE12" s="116">
        <f t="shared" si="5"/>
        <v>2.179989741965261E-2</v>
      </c>
      <c r="AF12" s="160">
        <f>AC12+1500000</f>
        <v>4219131.4852107856</v>
      </c>
      <c r="AG12" s="116">
        <f t="shared" si="6"/>
        <v>0.551646732847757</v>
      </c>
      <c r="AH12" s="190">
        <f t="shared" si="7"/>
        <v>3.4030495158123508E-2</v>
      </c>
      <c r="AI12" s="115"/>
      <c r="AJ12" s="151">
        <f t="shared" si="8"/>
        <v>1499999.9999999995</v>
      </c>
      <c r="AK12" s="115"/>
      <c r="AL12" s="110">
        <f>W12+Z12</f>
        <v>5704445</v>
      </c>
      <c r="AM12" s="109">
        <f>AL12/AL13</f>
        <v>8.942674980301861E-2</v>
      </c>
    </row>
    <row r="13" spans="1:39" s="109" customFormat="1" ht="19.5" customHeight="1" x14ac:dyDescent="0.2">
      <c r="A13" s="191"/>
      <c r="B13" s="108" t="s">
        <v>154</v>
      </c>
      <c r="C13" s="108"/>
      <c r="D13" s="108"/>
      <c r="E13" s="113"/>
      <c r="F13" s="78"/>
      <c r="G13" s="114"/>
      <c r="H13" s="78"/>
      <c r="I13" s="114"/>
      <c r="J13" s="114"/>
      <c r="K13" s="78"/>
      <c r="L13" s="114"/>
      <c r="M13" s="114"/>
      <c r="N13" s="78"/>
      <c r="O13" s="114"/>
      <c r="P13" s="114"/>
      <c r="Q13" s="78">
        <f>'Tuition and cost rec detail'!H29</f>
        <v>732473</v>
      </c>
      <c r="R13" s="114"/>
      <c r="S13" s="114"/>
      <c r="T13" s="78">
        <f>'Tuition and cost rec detail'!G29</f>
        <v>846444</v>
      </c>
      <c r="U13" s="114">
        <f t="shared" si="1"/>
        <v>0.15559754420982075</v>
      </c>
      <c r="V13" s="116">
        <f>T13/$T$17</f>
        <v>7.3563953784318865E-3</v>
      </c>
      <c r="W13" s="78">
        <f>'Tuition and cost rec detail'!F29</f>
        <v>1168306</v>
      </c>
      <c r="X13" s="116">
        <f t="shared" si="2"/>
        <v>0.38025197177840475</v>
      </c>
      <c r="Y13" s="116">
        <f t="shared" si="9"/>
        <v>1.071507786684045E-2</v>
      </c>
      <c r="Z13" s="78">
        <v>1615108</v>
      </c>
      <c r="AA13" s="116">
        <f t="shared" si="3"/>
        <v>0.38243576597227102</v>
      </c>
      <c r="AB13" s="116">
        <f t="shared" si="10"/>
        <v>1.3550731599544648E-2</v>
      </c>
      <c r="AC13" s="78">
        <v>1550000</v>
      </c>
      <c r="AD13" s="116">
        <f t="shared" si="4"/>
        <v>-4.0311855306270572E-2</v>
      </c>
      <c r="AE13" s="116">
        <f t="shared" si="5"/>
        <v>1.2426703594233203E-2</v>
      </c>
      <c r="AF13" s="160">
        <f>AC13+500000</f>
        <v>2050000</v>
      </c>
      <c r="AG13" s="116">
        <f t="shared" si="6"/>
        <v>0.32258064516129026</v>
      </c>
      <c r="AH13" s="190">
        <f t="shared" si="7"/>
        <v>1.653480469112896E-2</v>
      </c>
      <c r="AI13" s="115"/>
      <c r="AJ13" s="151">
        <f t="shared" si="8"/>
        <v>500000</v>
      </c>
      <c r="AK13" s="115"/>
      <c r="AL13" s="110">
        <f>SUM(AL11:AL12)</f>
        <v>63789023</v>
      </c>
    </row>
    <row r="14" spans="1:39" s="109" customFormat="1" ht="19.5" customHeight="1" x14ac:dyDescent="0.2">
      <c r="A14" s="191"/>
      <c r="B14" s="108" t="s">
        <v>151</v>
      </c>
      <c r="C14" s="108"/>
      <c r="D14" s="108"/>
      <c r="E14" s="192"/>
      <c r="F14" s="79">
        <f>5925000+1464000+1440910</f>
        <v>8829910</v>
      </c>
      <c r="G14" s="112">
        <f>F14/F17</f>
        <v>7.9323819265043213E-2</v>
      </c>
      <c r="H14" s="79">
        <f>3300000+614000+373000+975000+475000+283092+1750000+425000+325000+73345+500000</f>
        <v>9093437</v>
      </c>
      <c r="I14" s="112">
        <f t="shared" ref="I14:I20" si="11">(H14/F14)-1</f>
        <v>2.9844811555270745E-2</v>
      </c>
      <c r="J14" s="112">
        <f>H14/H17</f>
        <v>8.3682997278763022E-2</v>
      </c>
      <c r="K14" s="79">
        <v>10082716</v>
      </c>
      <c r="L14" s="112">
        <f t="shared" ref="L14:L20" si="12">(K14/H14)-1</f>
        <v>0.10879043864272653</v>
      </c>
      <c r="M14" s="112">
        <f>K14/K17</f>
        <v>8.8591714073457714E-2</v>
      </c>
      <c r="N14" s="79">
        <v>11456624</v>
      </c>
      <c r="O14" s="112">
        <f t="shared" ref="O14:O20" si="13">(N14/K14)-1</f>
        <v>0.13626368133348188</v>
      </c>
      <c r="P14" s="112">
        <f>N14/N17</f>
        <v>0.10811465474437859</v>
      </c>
      <c r="Q14" s="79">
        <f>14115565-Q15-Q16</f>
        <v>14115565</v>
      </c>
      <c r="R14" s="112">
        <f t="shared" si="0"/>
        <v>0.23208765514168928</v>
      </c>
      <c r="S14" s="112">
        <f>Q14/Q17</f>
        <v>0.13191689880167709</v>
      </c>
      <c r="T14" s="79">
        <v>11653905</v>
      </c>
      <c r="U14" s="112">
        <f t="shared" si="1"/>
        <v>-0.17439330271228959</v>
      </c>
      <c r="V14" s="122">
        <f>T14/$T$17</f>
        <v>0.10128340786004066</v>
      </c>
      <c r="W14" s="79">
        <v>12306263</v>
      </c>
      <c r="X14" s="122">
        <f t="shared" si="2"/>
        <v>5.5977631532091676E-2</v>
      </c>
      <c r="Y14" s="122">
        <f t="shared" si="9"/>
        <v>0.11286646331938513</v>
      </c>
      <c r="Z14" s="79">
        <v>18447638</v>
      </c>
      <c r="AA14" s="122">
        <f t="shared" si="3"/>
        <v>0.49904467343173153</v>
      </c>
      <c r="AB14" s="122">
        <f t="shared" si="10"/>
        <v>0.15477540274926546</v>
      </c>
      <c r="AC14" s="79">
        <f>131913333-AC9-AC11-AC12-AC13-AC18-AC19</f>
        <v>22657410.999999996</v>
      </c>
      <c r="AD14" s="122">
        <f t="shared" si="4"/>
        <v>0.2282011930199408</v>
      </c>
      <c r="AE14" s="122">
        <f t="shared" si="5"/>
        <v>0.18164963271594767</v>
      </c>
      <c r="AF14" s="161">
        <f>'[1]149  Tuition - Indirects  1617'!$I$37+270678+200000-70363-1499516-27291</f>
        <v>21896276</v>
      </c>
      <c r="AG14" s="225">
        <f t="shared" si="6"/>
        <v>-3.3593202683219081E-2</v>
      </c>
      <c r="AH14" s="226">
        <f t="shared" si="7"/>
        <v>0.17661007176734364</v>
      </c>
      <c r="AI14" s="115"/>
      <c r="AJ14" s="151">
        <f t="shared" si="8"/>
        <v>-761134.99999999627</v>
      </c>
      <c r="AK14" s="115"/>
    </row>
    <row r="15" spans="1:39" s="109" customFormat="1" ht="19.5" hidden="1" customHeight="1" x14ac:dyDescent="0.2">
      <c r="A15" s="191"/>
      <c r="B15" s="108" t="s">
        <v>41</v>
      </c>
      <c r="C15" s="108"/>
      <c r="D15" s="108"/>
      <c r="E15" s="113"/>
      <c r="F15" s="78"/>
      <c r="G15" s="114">
        <f>F15/F17</f>
        <v>0</v>
      </c>
      <c r="H15" s="78"/>
      <c r="I15" s="114" t="e">
        <f t="shared" si="11"/>
        <v>#DIV/0!</v>
      </c>
      <c r="J15" s="114">
        <f>H15/H17</f>
        <v>0</v>
      </c>
      <c r="K15" s="78"/>
      <c r="L15" s="114" t="e">
        <f t="shared" si="12"/>
        <v>#DIV/0!</v>
      </c>
      <c r="M15" s="114">
        <f>K15/K17</f>
        <v>0</v>
      </c>
      <c r="N15" s="78"/>
      <c r="O15" s="114" t="e">
        <f t="shared" si="13"/>
        <v>#DIV/0!</v>
      </c>
      <c r="P15" s="114">
        <f>N15/N17</f>
        <v>0</v>
      </c>
      <c r="Q15" s="78"/>
      <c r="R15" s="114" t="e">
        <f t="shared" si="0"/>
        <v>#DIV/0!</v>
      </c>
      <c r="S15" s="114">
        <f>Q15/Q17</f>
        <v>0</v>
      </c>
      <c r="T15" s="108"/>
      <c r="U15" s="114" t="e">
        <f t="shared" si="1"/>
        <v>#DIV/0!</v>
      </c>
      <c r="V15" s="116"/>
      <c r="W15" s="78"/>
      <c r="X15" s="116" t="e">
        <f t="shared" si="2"/>
        <v>#DIV/0!</v>
      </c>
      <c r="Y15" s="116">
        <f t="shared" si="9"/>
        <v>0</v>
      </c>
      <c r="Z15" s="78"/>
      <c r="AA15" s="116" t="e">
        <f t="shared" si="3"/>
        <v>#DIV/0!</v>
      </c>
      <c r="AB15" s="116">
        <f t="shared" si="10"/>
        <v>0</v>
      </c>
      <c r="AC15" s="78"/>
      <c r="AD15" s="116" t="e">
        <f t="shared" si="4"/>
        <v>#DIV/0!</v>
      </c>
      <c r="AE15" s="116">
        <f t="shared" si="5"/>
        <v>0</v>
      </c>
      <c r="AF15" s="160"/>
      <c r="AG15" s="116" t="e">
        <f>(AF15/#REF!)-1</f>
        <v>#REF!</v>
      </c>
      <c r="AH15" s="190">
        <f t="shared" si="7"/>
        <v>0</v>
      </c>
      <c r="AI15" s="115"/>
      <c r="AJ15" s="151">
        <f t="shared" si="8"/>
        <v>0</v>
      </c>
      <c r="AK15" s="115"/>
    </row>
    <row r="16" spans="1:39" s="109" customFormat="1" ht="19.5" hidden="1" customHeight="1" x14ac:dyDescent="0.2">
      <c r="A16" s="191"/>
      <c r="B16" s="111" t="s">
        <v>4</v>
      </c>
      <c r="C16" s="111"/>
      <c r="D16" s="111"/>
      <c r="E16" s="113"/>
      <c r="F16" s="79"/>
      <c r="G16" s="112">
        <f>F16/F17</f>
        <v>0</v>
      </c>
      <c r="H16" s="79"/>
      <c r="I16" s="112" t="e">
        <f t="shared" si="11"/>
        <v>#DIV/0!</v>
      </c>
      <c r="J16" s="112">
        <f>H16/H17</f>
        <v>0</v>
      </c>
      <c r="K16" s="79"/>
      <c r="L16" s="112" t="e">
        <f t="shared" si="12"/>
        <v>#DIV/0!</v>
      </c>
      <c r="M16" s="112">
        <f>K16/K17</f>
        <v>0</v>
      </c>
      <c r="N16" s="79"/>
      <c r="O16" s="112" t="e">
        <f t="shared" si="13"/>
        <v>#DIV/0!</v>
      </c>
      <c r="P16" s="112">
        <f>N16/N17</f>
        <v>0</v>
      </c>
      <c r="Q16" s="79"/>
      <c r="R16" s="112" t="e">
        <f t="shared" si="0"/>
        <v>#DIV/0!</v>
      </c>
      <c r="S16" s="112">
        <f>Q16/Q17</f>
        <v>0</v>
      </c>
      <c r="T16" s="108"/>
      <c r="U16" s="114" t="e">
        <f t="shared" si="1"/>
        <v>#DIV/0!</v>
      </c>
      <c r="V16" s="116"/>
      <c r="W16" s="78"/>
      <c r="X16" s="116" t="e">
        <f t="shared" si="2"/>
        <v>#DIV/0!</v>
      </c>
      <c r="Y16" s="116">
        <f t="shared" si="9"/>
        <v>0</v>
      </c>
      <c r="Z16" s="78"/>
      <c r="AA16" s="116" t="e">
        <f t="shared" si="3"/>
        <v>#DIV/0!</v>
      </c>
      <c r="AB16" s="116">
        <f t="shared" si="10"/>
        <v>0</v>
      </c>
      <c r="AC16" s="78"/>
      <c r="AD16" s="116" t="e">
        <f t="shared" si="4"/>
        <v>#DIV/0!</v>
      </c>
      <c r="AE16" s="116">
        <f t="shared" si="5"/>
        <v>0</v>
      </c>
      <c r="AF16" s="160"/>
      <c r="AG16" s="116" t="e">
        <f>(AF16/#REF!)-1</f>
        <v>#REF!</v>
      </c>
      <c r="AH16" s="190">
        <f t="shared" si="7"/>
        <v>0</v>
      </c>
      <c r="AI16" s="115"/>
      <c r="AJ16" s="151">
        <f t="shared" si="8"/>
        <v>0</v>
      </c>
      <c r="AK16" s="115"/>
    </row>
    <row r="17" spans="1:38" s="120" customFormat="1" ht="19.5" customHeight="1" x14ac:dyDescent="0.2">
      <c r="A17" s="193"/>
      <c r="B17" s="194"/>
      <c r="C17" s="194" t="s">
        <v>5</v>
      </c>
      <c r="D17" s="194"/>
      <c r="E17" s="195"/>
      <c r="F17" s="121">
        <f>SUM(F9:F16)</f>
        <v>111314736</v>
      </c>
      <c r="G17" s="196">
        <f>SUM(G9:G16)</f>
        <v>0.99999999999999989</v>
      </c>
      <c r="H17" s="121">
        <f>SUM(H9:H16)</f>
        <v>108665288</v>
      </c>
      <c r="I17" s="196">
        <f t="shared" si="11"/>
        <v>-2.3801412959376766E-2</v>
      </c>
      <c r="J17" s="196">
        <f>SUM(J9:J16)</f>
        <v>1</v>
      </c>
      <c r="K17" s="121">
        <f>SUM(K9:K16)</f>
        <v>113811050</v>
      </c>
      <c r="L17" s="196">
        <f t="shared" si="12"/>
        <v>4.7354238825557671E-2</v>
      </c>
      <c r="M17" s="196">
        <f>SUM(M9:M16)</f>
        <v>0.99999999999999989</v>
      </c>
      <c r="N17" s="121">
        <f>SUM(N9:N15)</f>
        <v>105967355</v>
      </c>
      <c r="O17" s="196">
        <f t="shared" si="13"/>
        <v>-6.8918571614970614E-2</v>
      </c>
      <c r="P17" s="196">
        <f>SUM(P9:P16)</f>
        <v>1</v>
      </c>
      <c r="Q17" s="121">
        <f>SUM(Q9:Q15)</f>
        <v>107003463</v>
      </c>
      <c r="R17" s="196">
        <f t="shared" si="0"/>
        <v>9.7776150022805819E-3</v>
      </c>
      <c r="S17" s="196">
        <f>SUM(S9:S16)</f>
        <v>0.66530449579935558</v>
      </c>
      <c r="T17" s="121">
        <f>SUM(T9:T14)</f>
        <v>115062331</v>
      </c>
      <c r="U17" s="196">
        <f t="shared" si="1"/>
        <v>7.5314085862809854E-2</v>
      </c>
      <c r="V17" s="197">
        <f>T17/$T$17</f>
        <v>1</v>
      </c>
      <c r="W17" s="121">
        <f>SUM(W9:W14)</f>
        <v>109033832</v>
      </c>
      <c r="X17" s="197">
        <f t="shared" si="2"/>
        <v>-5.2393332792814662E-2</v>
      </c>
      <c r="Y17" s="116">
        <f t="shared" si="9"/>
        <v>1</v>
      </c>
      <c r="Z17" s="121">
        <f>SUM(Z9:Z14)</f>
        <v>119189727</v>
      </c>
      <c r="AA17" s="197">
        <f t="shared" si="3"/>
        <v>9.3144437957568993E-2</v>
      </c>
      <c r="AB17" s="116">
        <f t="shared" si="10"/>
        <v>1</v>
      </c>
      <c r="AC17" s="121">
        <f>SUM(AC9:AC14)</f>
        <v>124731389.00000001</v>
      </c>
      <c r="AD17" s="116">
        <f t="shared" si="4"/>
        <v>4.6494460046879738E-2</v>
      </c>
      <c r="AE17" s="116">
        <f t="shared" si="5"/>
        <v>1</v>
      </c>
      <c r="AF17" s="162">
        <f>SUM(AF9:AF14)</f>
        <v>123980902.00000001</v>
      </c>
      <c r="AG17" s="116">
        <f t="shared" ref="AG17:AG20" si="14">(AF17/AC17)-1</f>
        <v>-6.0168254840808899E-3</v>
      </c>
      <c r="AH17" s="190">
        <f>AF17/$AF$17</f>
        <v>1</v>
      </c>
      <c r="AI17" s="115"/>
      <c r="AJ17" s="151">
        <f t="shared" si="8"/>
        <v>-750487</v>
      </c>
      <c r="AK17" s="115"/>
    </row>
    <row r="18" spans="1:38" s="108" customFormat="1" ht="19.5" customHeight="1" x14ac:dyDescent="0.2">
      <c r="A18" s="191"/>
      <c r="B18" s="108" t="s">
        <v>6</v>
      </c>
      <c r="E18" s="113"/>
      <c r="F18" s="78">
        <f>5006880+589858+5360</f>
        <v>5602098</v>
      </c>
      <c r="G18" s="114"/>
      <c r="H18" s="78">
        <v>5533975</v>
      </c>
      <c r="I18" s="114">
        <f t="shared" si="11"/>
        <v>-1.2160265671896542E-2</v>
      </c>
      <c r="J18" s="114"/>
      <c r="K18" s="78">
        <v>6437773</v>
      </c>
      <c r="L18" s="114">
        <f t="shared" si="12"/>
        <v>0.16331804896118984</v>
      </c>
      <c r="M18" s="114"/>
      <c r="N18" s="78">
        <v>7232953</v>
      </c>
      <c r="O18" s="114">
        <f t="shared" si="13"/>
        <v>0.12351786867912251</v>
      </c>
      <c r="P18" s="114"/>
      <c r="Q18" s="78">
        <v>7190928</v>
      </c>
      <c r="R18" s="114">
        <f t="shared" si="0"/>
        <v>-5.8102133388672206E-3</v>
      </c>
      <c r="S18" s="114"/>
      <c r="T18" s="78">
        <v>8181781</v>
      </c>
      <c r="U18" s="114">
        <f t="shared" si="1"/>
        <v>0.13779209025594463</v>
      </c>
      <c r="V18" s="116"/>
      <c r="W18" s="78">
        <v>9308803</v>
      </c>
      <c r="X18" s="116">
        <f t="shared" si="2"/>
        <v>0.13774775932037286</v>
      </c>
      <c r="Y18" s="116"/>
      <c r="Z18" s="78">
        <v>9104747</v>
      </c>
      <c r="AA18" s="116">
        <f t="shared" si="3"/>
        <v>-2.1920756084321424E-2</v>
      </c>
      <c r="AB18" s="116"/>
      <c r="AC18" s="78">
        <f>6707831+45533</f>
        <v>6753364</v>
      </c>
      <c r="AD18" s="116">
        <f t="shared" si="4"/>
        <v>-0.2582590158738074</v>
      </c>
      <c r="AF18" s="160">
        <v>4000000</v>
      </c>
      <c r="AG18" s="116">
        <f t="shared" si="14"/>
        <v>-0.40770259088655669</v>
      </c>
      <c r="AH18" s="188"/>
      <c r="AJ18" s="151">
        <f t="shared" si="8"/>
        <v>-2753364</v>
      </c>
    </row>
    <row r="19" spans="1:38" ht="19.5" customHeight="1" x14ac:dyDescent="0.2">
      <c r="A19" s="198"/>
      <c r="B19" s="67" t="s">
        <v>166</v>
      </c>
      <c r="C19" s="67"/>
      <c r="D19" s="67"/>
      <c r="E19" s="199"/>
      <c r="F19" s="69">
        <v>-1200000</v>
      </c>
      <c r="G19" s="73"/>
      <c r="H19" s="69">
        <v>0</v>
      </c>
      <c r="I19" s="73">
        <f t="shared" si="11"/>
        <v>-1</v>
      </c>
      <c r="J19" s="73"/>
      <c r="K19" s="69">
        <v>400000</v>
      </c>
      <c r="L19" s="73" t="e">
        <f t="shared" si="12"/>
        <v>#DIV/0!</v>
      </c>
      <c r="M19" s="73"/>
      <c r="N19" s="69">
        <v>-950000</v>
      </c>
      <c r="O19" s="73">
        <f t="shared" si="13"/>
        <v>-3.375</v>
      </c>
      <c r="P19" s="73"/>
      <c r="Q19" s="69"/>
      <c r="R19" s="73"/>
      <c r="S19" s="73"/>
      <c r="T19" s="78"/>
      <c r="U19" s="114"/>
      <c r="V19" s="116"/>
      <c r="W19" s="78"/>
      <c r="X19" s="116"/>
      <c r="Y19" s="116"/>
      <c r="Z19" s="78"/>
      <c r="AA19" s="116"/>
      <c r="AB19" s="117"/>
      <c r="AC19" s="79">
        <f>428580</f>
        <v>428580</v>
      </c>
      <c r="AD19" s="116"/>
      <c r="AE19" s="67"/>
      <c r="AF19" s="160"/>
      <c r="AG19" s="116"/>
      <c r="AH19" s="188"/>
      <c r="AJ19" s="156">
        <f t="shared" si="8"/>
        <v>-428580</v>
      </c>
    </row>
    <row r="20" spans="1:38" s="106" customFormat="1" ht="26.25" customHeight="1" thickBot="1" x14ac:dyDescent="0.25">
      <c r="A20" s="200"/>
      <c r="B20" s="123" t="s">
        <v>7</v>
      </c>
      <c r="E20" s="124"/>
      <c r="F20" s="76">
        <f>SUM(F17:F19)</f>
        <v>115716834</v>
      </c>
      <c r="G20" s="77">
        <f>F20/F46</f>
        <v>0.67441249835901051</v>
      </c>
      <c r="H20" s="76">
        <f>SUM(H17:H19)</f>
        <v>114199263</v>
      </c>
      <c r="I20" s="77">
        <f t="shared" si="11"/>
        <v>-1.3114522300186726E-2</v>
      </c>
      <c r="J20" s="77">
        <f>H20/H46</f>
        <v>0.6530684191659204</v>
      </c>
      <c r="K20" s="76">
        <f>SUM(K17:K19)</f>
        <v>120648823</v>
      </c>
      <c r="L20" s="77">
        <f t="shared" si="12"/>
        <v>5.6476371480611132E-2</v>
      </c>
      <c r="M20" s="77">
        <f>K20/K46</f>
        <v>0.68057397050321944</v>
      </c>
      <c r="N20" s="76">
        <f>SUM(N17:N19)</f>
        <v>112250308</v>
      </c>
      <c r="O20" s="77">
        <f t="shared" si="13"/>
        <v>-6.9611246849876074E-2</v>
      </c>
      <c r="P20" s="77">
        <f>N20/N46</f>
        <v>0.64273040583620789</v>
      </c>
      <c r="Q20" s="76">
        <f>SUM(Q17:Q19)</f>
        <v>114194391</v>
      </c>
      <c r="R20" s="77">
        <f t="shared" si="0"/>
        <v>1.7319177422657983E-2</v>
      </c>
      <c r="S20" s="77">
        <f>Q20/Q46</f>
        <v>0.63917124210097087</v>
      </c>
      <c r="T20" s="76">
        <f>SUM(T17:T19)</f>
        <v>123244112</v>
      </c>
      <c r="U20" s="125">
        <f t="shared" si="1"/>
        <v>7.9248384449985831E-2</v>
      </c>
      <c r="V20" s="118">
        <f>T20/T46</f>
        <v>0.65066350760117142</v>
      </c>
      <c r="W20" s="76">
        <f>SUM(W17:W19)</f>
        <v>118342635</v>
      </c>
      <c r="X20" s="133">
        <f t="shared" si="2"/>
        <v>-3.9770476012679579E-2</v>
      </c>
      <c r="Y20" s="118">
        <f>W20/W46</f>
        <v>0.61399776650703686</v>
      </c>
      <c r="Z20" s="76">
        <f>SUM(Z17:Z19)</f>
        <v>128294474</v>
      </c>
      <c r="AA20" s="133">
        <f t="shared" si="3"/>
        <v>8.4093437669357396E-2</v>
      </c>
      <c r="AB20" s="118">
        <f>Z20/Z46</f>
        <v>0.64340308755109243</v>
      </c>
      <c r="AC20" s="230">
        <f>SUM(AC17:AC19)</f>
        <v>131913333.00000001</v>
      </c>
      <c r="AD20" s="133">
        <f t="shared" si="4"/>
        <v>2.8207442512294234E-2</v>
      </c>
      <c r="AE20" s="118">
        <f>AC20/AC46</f>
        <v>0.65699344178134556</v>
      </c>
      <c r="AF20" s="136">
        <f>SUM(AF17:AF19)</f>
        <v>127980902.00000001</v>
      </c>
      <c r="AG20" s="164">
        <f t="shared" si="14"/>
        <v>-2.9810716707461271E-2</v>
      </c>
      <c r="AH20" s="201">
        <f>AF20/AF46</f>
        <v>0.65779352729357732</v>
      </c>
      <c r="AI20" s="146"/>
      <c r="AJ20" s="151">
        <f t="shared" si="8"/>
        <v>-3932431</v>
      </c>
      <c r="AK20" s="146"/>
      <c r="AL20" s="147">
        <f>AF20-127692577</f>
        <v>288325.0000000149</v>
      </c>
    </row>
    <row r="21" spans="1:38" ht="13.5" thickTop="1" x14ac:dyDescent="0.2">
      <c r="A21" s="198"/>
      <c r="B21" s="67"/>
      <c r="C21" s="67"/>
      <c r="D21" s="67"/>
      <c r="E21" s="202"/>
      <c r="F21" s="69"/>
      <c r="G21" s="73"/>
      <c r="H21" s="69"/>
      <c r="I21" s="73"/>
      <c r="J21" s="73"/>
      <c r="K21" s="69"/>
      <c r="L21" s="73"/>
      <c r="M21" s="73"/>
      <c r="N21" s="69"/>
      <c r="O21" s="73"/>
      <c r="P21" s="73"/>
      <c r="Q21" s="69"/>
      <c r="R21" s="73"/>
      <c r="S21" s="73"/>
      <c r="T21" s="69"/>
      <c r="U21" s="69"/>
      <c r="V21" s="117"/>
      <c r="W21" s="69"/>
      <c r="X21" s="117"/>
      <c r="Y21" s="117"/>
      <c r="Z21" s="69"/>
      <c r="AA21" s="117"/>
      <c r="AB21" s="117"/>
      <c r="AC21" s="78"/>
      <c r="AD21" s="117"/>
      <c r="AE21" s="67"/>
      <c r="AF21" s="160"/>
      <c r="AG21" s="116"/>
      <c r="AH21" s="188"/>
    </row>
    <row r="22" spans="1:38" x14ac:dyDescent="0.2">
      <c r="A22" s="203" t="s">
        <v>13</v>
      </c>
      <c r="B22" s="67"/>
      <c r="C22" s="67"/>
      <c r="D22" s="67"/>
      <c r="E22" s="202"/>
      <c r="F22" s="69"/>
      <c r="G22" s="73"/>
      <c r="H22" s="69"/>
      <c r="I22" s="73"/>
      <c r="J22" s="73"/>
      <c r="K22" s="69"/>
      <c r="L22" s="73"/>
      <c r="M22" s="73"/>
      <c r="N22" s="69"/>
      <c r="O22" s="73"/>
      <c r="P22" s="73"/>
      <c r="Q22" s="69"/>
      <c r="R22" s="73"/>
      <c r="S22" s="73"/>
      <c r="T22" s="69"/>
      <c r="U22" s="69"/>
      <c r="V22" s="117"/>
      <c r="W22" s="69"/>
      <c r="X22" s="117"/>
      <c r="Y22" s="117"/>
      <c r="Z22" s="69"/>
      <c r="AA22" s="117"/>
      <c r="AB22" s="117"/>
      <c r="AC22" s="78"/>
      <c r="AD22" s="117"/>
      <c r="AE22" s="67"/>
      <c r="AF22" s="160"/>
      <c r="AG22" s="116"/>
      <c r="AH22" s="188"/>
      <c r="AJ22" s="151">
        <v>-3932431</v>
      </c>
    </row>
    <row r="23" spans="1:38" ht="19.5" customHeight="1" x14ac:dyDescent="0.2">
      <c r="A23" s="198"/>
      <c r="B23" s="67" t="s">
        <v>50</v>
      </c>
      <c r="C23" s="67"/>
      <c r="D23" s="67"/>
      <c r="E23" s="204" t="s">
        <v>49</v>
      </c>
      <c r="F23" s="78">
        <v>2619247</v>
      </c>
      <c r="G23" s="73"/>
      <c r="H23" s="78">
        <v>2390434</v>
      </c>
      <c r="I23" s="73">
        <f>(H23/F23)-1</f>
        <v>-8.7358313286223122E-2</v>
      </c>
      <c r="J23" s="73"/>
      <c r="K23" s="78">
        <v>2626054.63</v>
      </c>
      <c r="L23" s="73">
        <f>(K23/H23)-1</f>
        <v>9.8568138672726402E-2</v>
      </c>
      <c r="M23" s="73"/>
      <c r="N23" s="78">
        <v>2468646.65</v>
      </c>
      <c r="O23" s="73">
        <f>(N23/K23)-1</f>
        <v>-5.9940862692563268E-2</v>
      </c>
      <c r="P23" s="73"/>
      <c r="Q23" s="78">
        <v>2220568</v>
      </c>
      <c r="R23" s="73">
        <f>(Q23/N23)-1</f>
        <v>-0.10049176134624205</v>
      </c>
      <c r="S23" s="73"/>
      <c r="T23" s="69">
        <v>2478250</v>
      </c>
      <c r="U23" s="69"/>
      <c r="V23" s="117"/>
      <c r="W23" s="69">
        <v>3291922</v>
      </c>
      <c r="X23" s="117"/>
      <c r="Y23" s="117"/>
      <c r="Z23" s="69">
        <v>3598925</v>
      </c>
      <c r="AA23" s="117"/>
      <c r="AB23" s="117"/>
      <c r="AC23" s="78">
        <v>3500000</v>
      </c>
      <c r="AD23" s="117"/>
      <c r="AE23" s="67"/>
      <c r="AF23" s="160">
        <v>4000000</v>
      </c>
      <c r="AG23" s="116">
        <f t="shared" ref="AG23:AG26" si="15">(AF23/AC23)-1</f>
        <v>0.14285714285714279</v>
      </c>
      <c r="AH23" s="188"/>
      <c r="AJ23" s="151">
        <f>AJ22-AJ20</f>
        <v>0</v>
      </c>
    </row>
    <row r="24" spans="1:38" ht="19.5" customHeight="1" x14ac:dyDescent="0.2">
      <c r="A24" s="198"/>
      <c r="B24" s="67" t="s">
        <v>51</v>
      </c>
      <c r="C24" s="67"/>
      <c r="D24" s="67"/>
      <c r="E24" s="202" t="s">
        <v>52</v>
      </c>
      <c r="F24" s="78">
        <v>12525517</v>
      </c>
      <c r="G24" s="73"/>
      <c r="H24" s="78">
        <v>13049177</v>
      </c>
      <c r="I24" s="73">
        <f>(H24/F24)-1</f>
        <v>4.1807455931759163E-2</v>
      </c>
      <c r="J24" s="73"/>
      <c r="K24" s="78">
        <v>13705866.310000001</v>
      </c>
      <c r="L24" s="73">
        <f>(K24/H24)-1</f>
        <v>5.0324193625391089E-2</v>
      </c>
      <c r="M24" s="73"/>
      <c r="N24" s="78">
        <v>16055745.460000001</v>
      </c>
      <c r="O24" s="73">
        <f>(N24/K24)-1</f>
        <v>0.17145061077135226</v>
      </c>
      <c r="P24" s="73"/>
      <c r="Q24" s="78">
        <v>15619442</v>
      </c>
      <c r="R24" s="73">
        <f>(Q24/N24)-1</f>
        <v>-2.7174288549041359E-2</v>
      </c>
      <c r="S24" s="73"/>
      <c r="T24" s="69">
        <v>15616990</v>
      </c>
      <c r="U24" s="69"/>
      <c r="V24" s="117"/>
      <c r="W24" s="78">
        <v>23931439</v>
      </c>
      <c r="X24" s="116"/>
      <c r="Y24" s="117"/>
      <c r="Z24" s="69">
        <v>21310789</v>
      </c>
      <c r="AA24" s="117"/>
      <c r="AB24" s="117"/>
      <c r="AC24" s="78">
        <v>20000000</v>
      </c>
      <c r="AD24" s="117"/>
      <c r="AE24" s="67"/>
      <c r="AF24" s="160">
        <f>19200000-1500000</f>
        <v>17700000</v>
      </c>
      <c r="AG24" s="116">
        <f t="shared" si="15"/>
        <v>-0.11499999999999999</v>
      </c>
      <c r="AH24" s="188"/>
      <c r="AL24" s="150">
        <f>127980902</f>
        <v>127980902</v>
      </c>
    </row>
    <row r="25" spans="1:38" s="111" customFormat="1" ht="19.5" customHeight="1" x14ac:dyDescent="0.2">
      <c r="A25" s="205"/>
      <c r="B25" s="111" t="s">
        <v>16</v>
      </c>
      <c r="E25" s="132" t="s">
        <v>73</v>
      </c>
      <c r="F25" s="79">
        <f>30999541-F23-F24</f>
        <v>15854777</v>
      </c>
      <c r="G25" s="112"/>
      <c r="H25" s="79">
        <f>34882501-H23-H24</f>
        <v>19442890</v>
      </c>
      <c r="I25" s="112">
        <f>(H25/F25)-1</f>
        <v>0.22631116161394127</v>
      </c>
      <c r="J25" s="112"/>
      <c r="K25" s="79">
        <f>30273604-K23-K24</f>
        <v>13941683.060000001</v>
      </c>
      <c r="L25" s="112">
        <f>(K25/H25)-1</f>
        <v>-0.28294183323569688</v>
      </c>
      <c r="M25" s="112"/>
      <c r="N25" s="79">
        <f>34686528-N23-N24</f>
        <v>16162135.890000001</v>
      </c>
      <c r="O25" s="112">
        <f>(N25/K25)-1</f>
        <v>0.15926720041217179</v>
      </c>
      <c r="P25" s="112"/>
      <c r="Q25" s="79">
        <f>32438113-Q23-Q24</f>
        <v>14598103</v>
      </c>
      <c r="R25" s="112">
        <f>(Q25/N25)-1</f>
        <v>-9.6771423074577312E-2</v>
      </c>
      <c r="S25" s="112"/>
      <c r="T25" s="79">
        <f>32474827-T24-T23</f>
        <v>14379587</v>
      </c>
      <c r="U25" s="79"/>
      <c r="V25" s="122"/>
      <c r="W25" s="79">
        <f>40709766-W24-W23</f>
        <v>13486405</v>
      </c>
      <c r="X25" s="122"/>
      <c r="Y25" s="122"/>
      <c r="Z25" s="79">
        <f>39069241-Z24-Z23</f>
        <v>14159527</v>
      </c>
      <c r="AA25" s="122"/>
      <c r="AB25" s="122"/>
      <c r="AC25" s="79">
        <v>15000000</v>
      </c>
      <c r="AD25" s="122"/>
      <c r="AF25" s="161">
        <v>15000000</v>
      </c>
      <c r="AG25" s="116">
        <f t="shared" si="15"/>
        <v>0</v>
      </c>
      <c r="AH25" s="206"/>
      <c r="AJ25" s="156"/>
      <c r="AL25" s="232">
        <f>AF20-AL24</f>
        <v>0</v>
      </c>
    </row>
    <row r="26" spans="1:38" s="75" customFormat="1" ht="26.25" customHeight="1" thickBot="1" x14ac:dyDescent="0.25">
      <c r="A26" s="207"/>
      <c r="B26" s="74" t="s">
        <v>21</v>
      </c>
      <c r="C26" s="208"/>
      <c r="D26" s="208"/>
      <c r="E26" s="209"/>
      <c r="F26" s="130">
        <f>SUM(F23:F25)</f>
        <v>30999541</v>
      </c>
      <c r="G26" s="131">
        <f>F26/F46</f>
        <v>0.1806692870096375</v>
      </c>
      <c r="H26" s="130">
        <f>SUM(H23:H25)</f>
        <v>34882501</v>
      </c>
      <c r="I26" s="131">
        <f>(H26/F26)-1</f>
        <v>0.12525862882937533</v>
      </c>
      <c r="J26" s="131">
        <f>H26/H46</f>
        <v>0.19948167077596324</v>
      </c>
      <c r="K26" s="130">
        <f>SUM(K23:K25)</f>
        <v>30273604</v>
      </c>
      <c r="L26" s="131">
        <f>(K26/H26)-1</f>
        <v>-0.13212633463409063</v>
      </c>
      <c r="M26" s="131">
        <f>K26/K46</f>
        <v>0.17077188457712633</v>
      </c>
      <c r="N26" s="130">
        <f>SUM(N23:N25)</f>
        <v>34686528</v>
      </c>
      <c r="O26" s="131">
        <f>(N26/K26)-1</f>
        <v>0.14576804268167076</v>
      </c>
      <c r="P26" s="131">
        <f>N26/N46</f>
        <v>0.19861046811995373</v>
      </c>
      <c r="Q26" s="130">
        <f>SUM(Q23:Q25)</f>
        <v>32438113</v>
      </c>
      <c r="R26" s="131">
        <f>(Q26/N26)-1</f>
        <v>-6.4820987560357701E-2</v>
      </c>
      <c r="S26" s="131">
        <f>Q26/Q46</f>
        <v>0.1815632869185462</v>
      </c>
      <c r="T26" s="76">
        <f>SUM(T23:T25)</f>
        <v>32474827</v>
      </c>
      <c r="U26" s="76"/>
      <c r="V26" s="118">
        <f>T26/T46</f>
        <v>0.17144985266769763</v>
      </c>
      <c r="W26" s="76">
        <f>SUM(W23:W25)</f>
        <v>40709766</v>
      </c>
      <c r="X26" s="118">
        <f>(W26-T26)/T26</f>
        <v>0.25357914916683005</v>
      </c>
      <c r="Y26" s="118">
        <f>W26/W46</f>
        <v>0.21121471056499722</v>
      </c>
      <c r="Z26" s="76">
        <f>SUM(Z23:Z25)</f>
        <v>39069241</v>
      </c>
      <c r="AA26" s="118">
        <f>(Z26-W26)/W26</f>
        <v>-4.0298070001188416E-2</v>
      </c>
      <c r="AB26" s="118">
        <f>Z26/Z46</f>
        <v>0.19593416227481264</v>
      </c>
      <c r="AC26" s="230">
        <f>SUM(AC23:AC25)</f>
        <v>38500000</v>
      </c>
      <c r="AD26" s="118">
        <f>(AC26-Z26)/Z26</f>
        <v>-1.457005525139329E-2</v>
      </c>
      <c r="AE26" s="118">
        <f>AC26/AC46</f>
        <v>0.19174898346766661</v>
      </c>
      <c r="AF26" s="136">
        <f>SUM(AF23:AF25)</f>
        <v>36700000</v>
      </c>
      <c r="AG26" s="164">
        <f t="shared" si="15"/>
        <v>-4.6753246753246769E-2</v>
      </c>
      <c r="AH26" s="201">
        <f>AF26/AF46</f>
        <v>0.1886298820715788</v>
      </c>
      <c r="AI26" s="149"/>
      <c r="AJ26" s="157"/>
      <c r="AK26" s="149"/>
      <c r="AL26" s="148"/>
    </row>
    <row r="27" spans="1:38" ht="13.5" thickTop="1" x14ac:dyDescent="0.2">
      <c r="A27" s="210"/>
      <c r="B27" s="67"/>
      <c r="C27" s="67"/>
      <c r="D27" s="67"/>
      <c r="E27" s="202"/>
      <c r="F27" s="69"/>
      <c r="G27" s="73"/>
      <c r="H27" s="69"/>
      <c r="I27" s="73"/>
      <c r="J27" s="73"/>
      <c r="K27" s="69"/>
      <c r="L27" s="73"/>
      <c r="M27" s="73"/>
      <c r="N27" s="69"/>
      <c r="O27" s="73"/>
      <c r="P27" s="73"/>
      <c r="Q27" s="69"/>
      <c r="R27" s="73"/>
      <c r="S27" s="73"/>
      <c r="T27" s="69"/>
      <c r="U27" s="69"/>
      <c r="V27" s="117"/>
      <c r="W27" s="69"/>
      <c r="X27" s="117"/>
      <c r="Y27" s="117"/>
      <c r="Z27" s="69"/>
      <c r="AA27" s="117"/>
      <c r="AB27" s="117"/>
      <c r="AC27" s="78"/>
      <c r="AD27" s="117"/>
      <c r="AE27" s="67"/>
      <c r="AF27" s="160"/>
      <c r="AG27" s="116"/>
      <c r="AH27" s="188"/>
    </row>
    <row r="28" spans="1:38" s="66" customFormat="1" x14ac:dyDescent="0.2">
      <c r="A28" s="203" t="s">
        <v>20</v>
      </c>
      <c r="B28" s="211"/>
      <c r="C28" s="211"/>
      <c r="D28" s="211"/>
      <c r="E28" s="202"/>
      <c r="F28" s="212"/>
      <c r="G28" s="213"/>
      <c r="H28" s="212"/>
      <c r="I28" s="213"/>
      <c r="J28" s="213"/>
      <c r="K28" s="212"/>
      <c r="L28" s="213"/>
      <c r="M28" s="213"/>
      <c r="N28" s="212"/>
      <c r="O28" s="213"/>
      <c r="P28" s="213"/>
      <c r="Q28" s="212"/>
      <c r="R28" s="213"/>
      <c r="S28" s="213"/>
      <c r="T28" s="212"/>
      <c r="U28" s="212"/>
      <c r="V28" s="214"/>
      <c r="W28" s="212"/>
      <c r="X28" s="214"/>
      <c r="Y28" s="214"/>
      <c r="Z28" s="212"/>
      <c r="AA28" s="214"/>
      <c r="AB28" s="214"/>
      <c r="AC28" s="228"/>
      <c r="AD28" s="214"/>
      <c r="AE28" s="211"/>
      <c r="AF28" s="163"/>
      <c r="AG28" s="215"/>
      <c r="AH28" s="216"/>
      <c r="AI28" s="107"/>
      <c r="AJ28" s="158"/>
      <c r="AK28" s="107"/>
      <c r="AL28" s="107"/>
    </row>
    <row r="29" spans="1:38" ht="19.5" customHeight="1" x14ac:dyDescent="0.2">
      <c r="A29" s="198"/>
      <c r="B29" s="67" t="s">
        <v>23</v>
      </c>
      <c r="C29" s="67"/>
      <c r="D29" s="67"/>
      <c r="E29" s="202" t="s">
        <v>53</v>
      </c>
      <c r="F29" s="78">
        <v>5636738</v>
      </c>
      <c r="G29" s="73"/>
      <c r="H29" s="78">
        <f>F29*1.02</f>
        <v>5749472.7599999998</v>
      </c>
      <c r="I29" s="73">
        <f>(H29/F29)-1</f>
        <v>2.0000000000000018E-2</v>
      </c>
      <c r="J29" s="73"/>
      <c r="K29" s="78">
        <v>5068727.9800000004</v>
      </c>
      <c r="L29" s="73">
        <f>(K29/H29)-1</f>
        <v>-0.11840125319595385</v>
      </c>
      <c r="M29" s="73"/>
      <c r="N29" s="78">
        <v>4975019.99</v>
      </c>
      <c r="O29" s="73">
        <f>(N29/K29)-1</f>
        <v>-1.8487476615385523E-2</v>
      </c>
      <c r="P29" s="73"/>
      <c r="Q29" s="78">
        <v>5169269</v>
      </c>
      <c r="R29" s="73">
        <f>(Q29/N29)-1</f>
        <v>3.9044870249858032E-2</v>
      </c>
      <c r="S29" s="73"/>
      <c r="T29" s="69">
        <v>3548238</v>
      </c>
      <c r="U29" s="69"/>
      <c r="V29" s="117"/>
      <c r="W29" s="78">
        <v>3821874</v>
      </c>
      <c r="X29" s="116"/>
      <c r="Y29" s="117"/>
      <c r="Z29" s="69">
        <v>3785239</v>
      </c>
      <c r="AA29" s="117"/>
      <c r="AB29" s="117"/>
      <c r="AC29" s="78">
        <v>3750000</v>
      </c>
      <c r="AD29" s="117"/>
      <c r="AE29" s="67"/>
      <c r="AF29" s="160">
        <v>3900000</v>
      </c>
      <c r="AG29" s="116">
        <f t="shared" ref="AG29:AG33" si="16">(AF29/AC29)-1</f>
        <v>4.0000000000000036E-2</v>
      </c>
      <c r="AH29" s="188"/>
    </row>
    <row r="30" spans="1:38" ht="19.5" customHeight="1" x14ac:dyDescent="0.2">
      <c r="A30" s="198"/>
      <c r="B30" s="67" t="s">
        <v>24</v>
      </c>
      <c r="C30" s="67"/>
      <c r="D30" s="67"/>
      <c r="E30" s="202" t="s">
        <v>55</v>
      </c>
      <c r="F30" s="78">
        <v>2870715</v>
      </c>
      <c r="G30" s="73"/>
      <c r="H30" s="78">
        <f>F30*1.02</f>
        <v>2928129.3000000003</v>
      </c>
      <c r="I30" s="73">
        <f>(H30/F30)-1</f>
        <v>2.0000000000000018E-2</v>
      </c>
      <c r="J30" s="73"/>
      <c r="K30" s="78">
        <v>1834082.41</v>
      </c>
      <c r="L30" s="73">
        <f>(K30/H30)-1</f>
        <v>-0.37363339453623179</v>
      </c>
      <c r="M30" s="73"/>
      <c r="N30" s="78">
        <v>2095777.16</v>
      </c>
      <c r="O30" s="73">
        <f>(N30/K30)-1</f>
        <v>0.14268429192339283</v>
      </c>
      <c r="P30" s="73"/>
      <c r="Q30" s="78">
        <v>1273060</v>
      </c>
      <c r="R30" s="73">
        <f>(Q30/N30)-1</f>
        <v>-0.39255946467132985</v>
      </c>
      <c r="S30" s="73"/>
      <c r="T30" s="69">
        <v>1074208</v>
      </c>
      <c r="U30" s="69"/>
      <c r="V30" s="117"/>
      <c r="W30" s="78">
        <v>899967</v>
      </c>
      <c r="X30" s="116"/>
      <c r="Y30" s="117"/>
      <c r="Z30" s="69">
        <v>976369</v>
      </c>
      <c r="AA30" s="117"/>
      <c r="AB30" s="117"/>
      <c r="AC30" s="78">
        <v>950000</v>
      </c>
      <c r="AD30" s="117"/>
      <c r="AE30" s="67"/>
      <c r="AF30" s="160">
        <v>900000</v>
      </c>
      <c r="AG30" s="116">
        <f t="shared" si="16"/>
        <v>-5.2631578947368474E-2</v>
      </c>
      <c r="AH30" s="188"/>
    </row>
    <row r="31" spans="1:38" ht="19.5" customHeight="1" x14ac:dyDescent="0.2">
      <c r="A31" s="198"/>
      <c r="B31" s="67" t="s">
        <v>150</v>
      </c>
      <c r="C31" s="67"/>
      <c r="D31" s="67"/>
      <c r="E31" s="202"/>
      <c r="F31" s="78"/>
      <c r="G31" s="73"/>
      <c r="H31" s="78"/>
      <c r="I31" s="73"/>
      <c r="J31" s="73"/>
      <c r="K31" s="78"/>
      <c r="L31" s="73"/>
      <c r="M31" s="73"/>
      <c r="N31" s="78"/>
      <c r="O31" s="73"/>
      <c r="P31" s="73"/>
      <c r="Q31" s="78"/>
      <c r="R31" s="73"/>
      <c r="S31" s="73"/>
      <c r="T31" s="69">
        <v>2055049</v>
      </c>
      <c r="U31" s="69"/>
      <c r="V31" s="117"/>
      <c r="W31" s="78">
        <v>2121087</v>
      </c>
      <c r="X31" s="116"/>
      <c r="Y31" s="117"/>
      <c r="Z31" s="69">
        <v>1894320</v>
      </c>
      <c r="AA31" s="117"/>
      <c r="AB31" s="117"/>
      <c r="AC31" s="78">
        <v>1800000</v>
      </c>
      <c r="AD31" s="117"/>
      <c r="AE31" s="67"/>
      <c r="AF31" s="160">
        <v>1500000</v>
      </c>
      <c r="AG31" s="116">
        <f t="shared" si="16"/>
        <v>-0.16666666666666663</v>
      </c>
      <c r="AH31" s="188"/>
    </row>
    <row r="32" spans="1:38" ht="19.5" customHeight="1" x14ac:dyDescent="0.2">
      <c r="A32" s="198"/>
      <c r="B32" s="70" t="s">
        <v>25</v>
      </c>
      <c r="C32" s="70"/>
      <c r="D32" s="70"/>
      <c r="E32" s="202" t="s">
        <v>54</v>
      </c>
      <c r="F32" s="79">
        <v>1579945</v>
      </c>
      <c r="G32" s="72"/>
      <c r="H32" s="79">
        <f>F32*1.02</f>
        <v>1611543.9000000001</v>
      </c>
      <c r="I32" s="72">
        <f>(H32/F32)-1</f>
        <v>2.0000000000000018E-2</v>
      </c>
      <c r="J32" s="72"/>
      <c r="K32" s="79">
        <v>1505871.66</v>
      </c>
      <c r="L32" s="72">
        <f>(K32/H32)-1</f>
        <v>-6.5572051744913762E-2</v>
      </c>
      <c r="M32" s="72"/>
      <c r="N32" s="79">
        <v>1446401.48</v>
      </c>
      <c r="O32" s="72">
        <f>(N32/K32)-1</f>
        <v>-3.9492196831700688E-2</v>
      </c>
      <c r="P32" s="72"/>
      <c r="Q32" s="79">
        <v>1642794</v>
      </c>
      <c r="R32" s="72">
        <f>(Q32/N32)-1</f>
        <v>0.13578008783564033</v>
      </c>
      <c r="S32" s="72"/>
      <c r="T32" s="69">
        <v>1578128</v>
      </c>
      <c r="U32" s="69"/>
      <c r="V32" s="117"/>
      <c r="W32" s="78">
        <v>1371960</v>
      </c>
      <c r="X32" s="116"/>
      <c r="Y32" s="117"/>
      <c r="Z32" s="69">
        <v>1536520</v>
      </c>
      <c r="AA32" s="117"/>
      <c r="AB32" s="117"/>
      <c r="AC32" s="79">
        <v>1400000</v>
      </c>
      <c r="AD32" s="117"/>
      <c r="AE32" s="67"/>
      <c r="AF32" s="160">
        <v>1700000</v>
      </c>
      <c r="AG32" s="116">
        <f t="shared" si="16"/>
        <v>0.21428571428571419</v>
      </c>
      <c r="AH32" s="188"/>
    </row>
    <row r="33" spans="1:38" s="75" customFormat="1" ht="26.25" customHeight="1" thickBot="1" x14ac:dyDescent="0.25">
      <c r="A33" s="207"/>
      <c r="B33" s="74" t="s">
        <v>22</v>
      </c>
      <c r="C33" s="208"/>
      <c r="D33" s="208"/>
      <c r="E33" s="209"/>
      <c r="F33" s="76">
        <f>SUM(F29:F32)</f>
        <v>10087398</v>
      </c>
      <c r="G33" s="77">
        <f>F33/F46</f>
        <v>5.8790644817690793E-2</v>
      </c>
      <c r="H33" s="76">
        <f>SUM(H29:H32)</f>
        <v>10289145.960000001</v>
      </c>
      <c r="I33" s="77">
        <f>(H33/F33)-1</f>
        <v>2.0000000000000018E-2</v>
      </c>
      <c r="J33" s="77">
        <f>H33/H46</f>
        <v>5.884027716242457E-2</v>
      </c>
      <c r="K33" s="76">
        <f>SUM(K29:K32)</f>
        <v>8408682.0500000007</v>
      </c>
      <c r="L33" s="77">
        <f>(K33/H33)-1</f>
        <v>-0.1827619043709241</v>
      </c>
      <c r="M33" s="77">
        <f>K33/K46</f>
        <v>4.7432954480357017E-2</v>
      </c>
      <c r="N33" s="76">
        <f>SUM(N29:N32)</f>
        <v>8517198.6300000008</v>
      </c>
      <c r="O33" s="77">
        <f>(N33/K33)-1</f>
        <v>1.290530184810601E-2</v>
      </c>
      <c r="P33" s="77">
        <f>N33/N46</f>
        <v>4.8768351994610951E-2</v>
      </c>
      <c r="Q33" s="76">
        <f>SUM(Q29:Q32)</f>
        <v>8085123</v>
      </c>
      <c r="R33" s="77">
        <f>(Q33/N33)-1</f>
        <v>-5.0729782029282133E-2</v>
      </c>
      <c r="S33" s="77">
        <f>Q33/Q46</f>
        <v>4.5254220152101232E-2</v>
      </c>
      <c r="T33" s="76">
        <f>SUM(T29:T32)</f>
        <v>8255623</v>
      </c>
      <c r="U33" s="76"/>
      <c r="V33" s="118">
        <f>T33/T46</f>
        <v>4.358530830757177E-2</v>
      </c>
      <c r="W33" s="76">
        <f>SUM(W29:W32)</f>
        <v>8214888</v>
      </c>
      <c r="X33" s="118">
        <f>(W33-T33)/T33</f>
        <v>-4.93421271780458E-3</v>
      </c>
      <c r="Y33" s="118">
        <f>W33/W46</f>
        <v>4.2621350150818083E-2</v>
      </c>
      <c r="Z33" s="76">
        <f>SUM(Z29:Z32)</f>
        <v>8192448</v>
      </c>
      <c r="AA33" s="118">
        <f>(Z33-W33)/W33</f>
        <v>-2.7316257994022559E-3</v>
      </c>
      <c r="AB33" s="118">
        <f>Z33/Z46</f>
        <v>4.108552904470205E-2</v>
      </c>
      <c r="AC33" s="230">
        <f>SUM(AC29:AC32)</f>
        <v>7900000</v>
      </c>
      <c r="AD33" s="118">
        <f>(AC33-Z33)/Z33</f>
        <v>-3.5697266555735234E-2</v>
      </c>
      <c r="AE33" s="118">
        <f>AC33/AC46</f>
        <v>3.9345895308949774E-2</v>
      </c>
      <c r="AF33" s="136">
        <f>SUM(AF29:AF32)</f>
        <v>8000000</v>
      </c>
      <c r="AG33" s="164">
        <f t="shared" si="16"/>
        <v>1.2658227848101333E-2</v>
      </c>
      <c r="AH33" s="201">
        <f>AF33/AF46</f>
        <v>4.1118230424322354E-2</v>
      </c>
      <c r="AI33" s="149"/>
      <c r="AJ33" s="157"/>
      <c r="AK33" s="149"/>
      <c r="AL33" s="148"/>
    </row>
    <row r="34" spans="1:38" ht="13.5" thickTop="1" x14ac:dyDescent="0.2">
      <c r="A34" s="210"/>
      <c r="B34" s="67"/>
      <c r="C34" s="67"/>
      <c r="D34" s="67"/>
      <c r="E34" s="202"/>
      <c r="F34" s="69"/>
      <c r="G34" s="67"/>
      <c r="H34" s="69"/>
      <c r="J34" s="67"/>
      <c r="K34" s="69"/>
      <c r="M34" s="67"/>
      <c r="N34" s="69"/>
      <c r="P34" s="67"/>
      <c r="Q34" s="69"/>
      <c r="R34" s="67"/>
      <c r="S34" s="67"/>
      <c r="T34" s="69"/>
      <c r="U34" s="69"/>
      <c r="V34" s="117"/>
      <c r="W34" s="69"/>
      <c r="X34" s="117"/>
      <c r="Y34" s="117"/>
      <c r="Z34" s="69"/>
      <c r="AA34" s="117"/>
      <c r="AB34" s="117"/>
      <c r="AC34" s="78"/>
      <c r="AD34" s="117"/>
      <c r="AE34" s="67"/>
      <c r="AF34" s="160"/>
      <c r="AG34" s="116"/>
      <c r="AH34" s="188"/>
    </row>
    <row r="35" spans="1:38" s="66" customFormat="1" x14ac:dyDescent="0.2">
      <c r="A35" s="203" t="s">
        <v>26</v>
      </c>
      <c r="B35" s="211"/>
      <c r="C35" s="211"/>
      <c r="D35" s="211"/>
      <c r="E35" s="202"/>
      <c r="F35" s="212"/>
      <c r="G35" s="213"/>
      <c r="H35" s="212"/>
      <c r="I35" s="213"/>
      <c r="J35" s="213"/>
      <c r="K35" s="212"/>
      <c r="L35" s="213"/>
      <c r="M35" s="213"/>
      <c r="N35" s="212"/>
      <c r="O35" s="213"/>
      <c r="P35" s="213"/>
      <c r="Q35" s="212"/>
      <c r="R35" s="213"/>
      <c r="S35" s="213"/>
      <c r="T35" s="212"/>
      <c r="U35" s="212"/>
      <c r="V35" s="214"/>
      <c r="W35" s="212"/>
      <c r="X35" s="214"/>
      <c r="Y35" s="214"/>
      <c r="Z35" s="212"/>
      <c r="AA35" s="214"/>
      <c r="AB35" s="214"/>
      <c r="AC35" s="228"/>
      <c r="AD35" s="214"/>
      <c r="AE35" s="211"/>
      <c r="AF35" s="163"/>
      <c r="AG35" s="215"/>
      <c r="AH35" s="216"/>
      <c r="AI35" s="107"/>
      <c r="AJ35" s="158"/>
      <c r="AK35" s="107"/>
      <c r="AL35" s="107"/>
    </row>
    <row r="36" spans="1:38" s="66" customFormat="1" ht="19.5" customHeight="1" x14ac:dyDescent="0.2">
      <c r="A36" s="203"/>
      <c r="B36" s="67" t="s">
        <v>68</v>
      </c>
      <c r="C36" s="211"/>
      <c r="D36" s="211"/>
      <c r="E36" s="202" t="s">
        <v>71</v>
      </c>
      <c r="F36" s="212"/>
      <c r="G36" s="213"/>
      <c r="H36" s="212"/>
      <c r="I36" s="213"/>
      <c r="J36" s="213"/>
      <c r="K36" s="69">
        <v>755728</v>
      </c>
      <c r="L36" s="73" t="e">
        <f t="shared" ref="L36:L44" si="17">(K36/H36)-1</f>
        <v>#DIV/0!</v>
      </c>
      <c r="M36" s="69"/>
      <c r="N36" s="69">
        <v>986869</v>
      </c>
      <c r="O36" s="73">
        <f t="shared" ref="O36:O44" si="18">(N36/K36)-1</f>
        <v>0.30585210551944608</v>
      </c>
      <c r="P36" s="69"/>
      <c r="Q36" s="69">
        <v>1022115</v>
      </c>
      <c r="R36" s="73">
        <f t="shared" ref="R36:R44" si="19">(Q36/N36)-1</f>
        <v>3.5714973314593834E-2</v>
      </c>
      <c r="S36" s="69"/>
      <c r="T36" s="69">
        <v>2513771</v>
      </c>
      <c r="U36" s="69"/>
      <c r="V36" s="117"/>
      <c r="W36" s="69">
        <v>2300342</v>
      </c>
      <c r="X36" s="117"/>
      <c r="Y36" s="214"/>
      <c r="Z36" s="69">
        <v>2225579</v>
      </c>
      <c r="AA36" s="117"/>
      <c r="AB36" s="214"/>
      <c r="AC36" s="78">
        <v>2200000</v>
      </c>
      <c r="AD36" s="214"/>
      <c r="AE36" s="211"/>
      <c r="AF36" s="160">
        <v>1900000</v>
      </c>
      <c r="AG36" s="116">
        <f t="shared" ref="AG36:AG44" si="20">(AF36/AC36)-1</f>
        <v>-0.13636363636363635</v>
      </c>
      <c r="AH36" s="216"/>
      <c r="AI36" s="107"/>
      <c r="AJ36" s="158"/>
      <c r="AK36" s="107"/>
      <c r="AL36" s="107"/>
    </row>
    <row r="37" spans="1:38" s="66" customFormat="1" ht="19.5" customHeight="1" x14ac:dyDescent="0.2">
      <c r="A37" s="203"/>
      <c r="B37" s="67" t="s">
        <v>69</v>
      </c>
      <c r="C37" s="211"/>
      <c r="D37" s="211"/>
      <c r="E37" s="202" t="s">
        <v>70</v>
      </c>
      <c r="F37" s="212"/>
      <c r="G37" s="213"/>
      <c r="H37" s="69">
        <v>661498</v>
      </c>
      <c r="I37" s="213"/>
      <c r="J37" s="213"/>
      <c r="K37" s="69">
        <v>516535</v>
      </c>
      <c r="L37" s="73">
        <f t="shared" si="17"/>
        <v>-0.21914351970829848</v>
      </c>
      <c r="M37" s="69"/>
      <c r="N37" s="69">
        <v>596812</v>
      </c>
      <c r="O37" s="73">
        <f t="shared" si="18"/>
        <v>0.15541444432613472</v>
      </c>
      <c r="P37" s="69"/>
      <c r="Q37" s="69">
        <v>593121</v>
      </c>
      <c r="R37" s="73">
        <f t="shared" si="19"/>
        <v>-6.184527120768335E-3</v>
      </c>
      <c r="S37" s="69"/>
      <c r="T37" s="69">
        <v>693523</v>
      </c>
      <c r="U37" s="69"/>
      <c r="V37" s="117"/>
      <c r="W37" s="69">
        <v>563885</v>
      </c>
      <c r="X37" s="117"/>
      <c r="Y37" s="214"/>
      <c r="Z37" s="69">
        <v>807664</v>
      </c>
      <c r="AA37" s="117"/>
      <c r="AB37" s="214"/>
      <c r="AC37" s="78">
        <v>800000</v>
      </c>
      <c r="AD37" s="214"/>
      <c r="AE37" s="211"/>
      <c r="AF37" s="160">
        <v>800000</v>
      </c>
      <c r="AG37" s="116">
        <f t="shared" si="20"/>
        <v>0</v>
      </c>
      <c r="AH37" s="216"/>
      <c r="AI37" s="107"/>
      <c r="AJ37" s="158"/>
      <c r="AK37" s="107"/>
      <c r="AL37" s="107"/>
    </row>
    <row r="38" spans="1:38" ht="19.5" customHeight="1" x14ac:dyDescent="0.2">
      <c r="A38" s="198"/>
      <c r="B38" s="67" t="s">
        <v>28</v>
      </c>
      <c r="C38" s="67"/>
      <c r="D38" s="67"/>
      <c r="E38" s="202" t="s">
        <v>62</v>
      </c>
      <c r="F38" s="78">
        <v>2465704</v>
      </c>
      <c r="G38" s="73"/>
      <c r="H38" s="78">
        <f>1130000+765000+591135</f>
        <v>2486135</v>
      </c>
      <c r="I38" s="73">
        <f t="shared" ref="I38:I44" si="21">(H38/F38)-1</f>
        <v>8.2860716452584082E-3</v>
      </c>
      <c r="J38" s="73"/>
      <c r="K38" s="78">
        <v>3697214.59</v>
      </c>
      <c r="L38" s="73">
        <f t="shared" si="17"/>
        <v>0.48713347827048814</v>
      </c>
      <c r="M38" s="73"/>
      <c r="N38" s="78">
        <v>3982234.96</v>
      </c>
      <c r="O38" s="73">
        <f t="shared" si="18"/>
        <v>7.7090567253225162E-2</v>
      </c>
      <c r="P38" s="73"/>
      <c r="Q38" s="78">
        <v>3890261</v>
      </c>
      <c r="R38" s="73">
        <f t="shared" si="19"/>
        <v>-2.3096065632450813E-2</v>
      </c>
      <c r="S38" s="73"/>
      <c r="T38" s="69">
        <v>4362702</v>
      </c>
      <c r="U38" s="69"/>
      <c r="V38" s="117"/>
      <c r="W38" s="69">
        <v>3692427</v>
      </c>
      <c r="X38" s="117"/>
      <c r="Y38" s="117"/>
      <c r="Z38" s="69">
        <v>3679331</v>
      </c>
      <c r="AA38" s="117"/>
      <c r="AB38" s="117"/>
      <c r="AC38" s="78">
        <v>3600000</v>
      </c>
      <c r="AD38" s="117"/>
      <c r="AE38" s="67"/>
      <c r="AF38" s="160">
        <v>3500000</v>
      </c>
      <c r="AG38" s="116">
        <f t="shared" si="20"/>
        <v>-2.777777777777779E-2</v>
      </c>
      <c r="AH38" s="188"/>
    </row>
    <row r="39" spans="1:38" ht="19.5" customHeight="1" x14ac:dyDescent="0.2">
      <c r="A39" s="198"/>
      <c r="B39" s="67" t="s">
        <v>30</v>
      </c>
      <c r="C39" s="67"/>
      <c r="D39" s="67"/>
      <c r="E39" s="202" t="s">
        <v>56</v>
      </c>
      <c r="F39" s="78">
        <v>1482860</v>
      </c>
      <c r="G39" s="73"/>
      <c r="H39" s="78">
        <f>F39*1.02</f>
        <v>1512517.2</v>
      </c>
      <c r="I39" s="73">
        <f t="shared" si="21"/>
        <v>2.0000000000000018E-2</v>
      </c>
      <c r="J39" s="73"/>
      <c r="K39" s="82">
        <v>1527989.76</v>
      </c>
      <c r="L39" s="73">
        <f t="shared" si="17"/>
        <v>1.0229675404683114E-2</v>
      </c>
      <c r="M39" s="73"/>
      <c r="N39" s="78">
        <v>1303816.58</v>
      </c>
      <c r="O39" s="73">
        <f t="shared" si="18"/>
        <v>-0.14671117953041779</v>
      </c>
      <c r="P39" s="73"/>
      <c r="Q39" s="78">
        <v>1236684</v>
      </c>
      <c r="R39" s="73">
        <f t="shared" si="19"/>
        <v>-5.1489282334483022E-2</v>
      </c>
      <c r="S39" s="73"/>
      <c r="T39" s="69">
        <v>1238740</v>
      </c>
      <c r="U39" s="69"/>
      <c r="V39" s="117"/>
      <c r="W39" s="69">
        <v>1148137</v>
      </c>
      <c r="X39" s="117"/>
      <c r="Y39" s="117"/>
      <c r="Z39" s="69">
        <v>1143608</v>
      </c>
      <c r="AA39" s="117"/>
      <c r="AB39" s="117"/>
      <c r="AC39" s="78">
        <v>1300000</v>
      </c>
      <c r="AD39" s="117"/>
      <c r="AE39" s="67"/>
      <c r="AF39" s="160">
        <v>1200000</v>
      </c>
      <c r="AG39" s="116">
        <f t="shared" si="20"/>
        <v>-7.6923076923076872E-2</v>
      </c>
      <c r="AH39" s="188"/>
    </row>
    <row r="40" spans="1:38" ht="19.5" customHeight="1" x14ac:dyDescent="0.2">
      <c r="A40" s="198"/>
      <c r="B40" s="67" t="s">
        <v>8</v>
      </c>
      <c r="C40" s="67"/>
      <c r="D40" s="67"/>
      <c r="E40" s="202" t="s">
        <v>57</v>
      </c>
      <c r="F40" s="78">
        <v>2501089.7000000002</v>
      </c>
      <c r="G40" s="73"/>
      <c r="H40" s="78">
        <f>F40*1.2</f>
        <v>3001307.64</v>
      </c>
      <c r="I40" s="73">
        <f t="shared" si="21"/>
        <v>0.19999999999999996</v>
      </c>
      <c r="J40" s="73"/>
      <c r="K40" s="78">
        <v>2649542.4700000002</v>
      </c>
      <c r="L40" s="73">
        <f t="shared" si="17"/>
        <v>-0.11720396980031011</v>
      </c>
      <c r="M40" s="73"/>
      <c r="N40" s="78">
        <v>2273475.15</v>
      </c>
      <c r="O40" s="73">
        <f t="shared" si="18"/>
        <v>-0.14193670199972308</v>
      </c>
      <c r="P40" s="73"/>
      <c r="Q40" s="78">
        <v>2506004</v>
      </c>
      <c r="R40" s="73">
        <f t="shared" si="19"/>
        <v>0.10227903744626365</v>
      </c>
      <c r="S40" s="73"/>
      <c r="T40" s="69">
        <v>2693161</v>
      </c>
      <c r="U40" s="69"/>
      <c r="V40" s="117"/>
      <c r="W40" s="69">
        <v>2771179</v>
      </c>
      <c r="X40" s="117"/>
      <c r="Y40" s="117"/>
      <c r="Z40" s="69">
        <v>2900712</v>
      </c>
      <c r="AA40" s="117"/>
      <c r="AB40" s="117"/>
      <c r="AC40" s="78">
        <v>2800000</v>
      </c>
      <c r="AD40" s="117"/>
      <c r="AE40" s="67"/>
      <c r="AF40" s="160">
        <v>2800000</v>
      </c>
      <c r="AG40" s="116">
        <f t="shared" si="20"/>
        <v>0</v>
      </c>
      <c r="AH40" s="188"/>
    </row>
    <row r="41" spans="1:38" s="67" customFormat="1" ht="19.5" customHeight="1" x14ac:dyDescent="0.2">
      <c r="A41" s="198"/>
      <c r="B41" s="67" t="s">
        <v>9</v>
      </c>
      <c r="E41" s="202" t="s">
        <v>58</v>
      </c>
      <c r="F41" s="78">
        <v>7189336</v>
      </c>
      <c r="G41" s="73"/>
      <c r="H41" s="78">
        <f>F41*1.02</f>
        <v>7333122.7199999997</v>
      </c>
      <c r="I41" s="73">
        <f t="shared" si="21"/>
        <v>2.0000000000000018E-2</v>
      </c>
      <c r="J41" s="73"/>
      <c r="K41" s="78">
        <v>8321138.4100000001</v>
      </c>
      <c r="L41" s="73">
        <f t="shared" si="17"/>
        <v>0.13473328181258104</v>
      </c>
      <c r="M41" s="73"/>
      <c r="N41" s="78">
        <v>9882540.8100000005</v>
      </c>
      <c r="O41" s="73">
        <f t="shared" si="18"/>
        <v>0.1876428828684753</v>
      </c>
      <c r="P41" s="73"/>
      <c r="Q41" s="78">
        <v>14353369</v>
      </c>
      <c r="R41" s="73">
        <f t="shared" si="19"/>
        <v>0.45239663320955192</v>
      </c>
      <c r="S41" s="73"/>
      <c r="T41" s="69">
        <v>11752089</v>
      </c>
      <c r="U41" s="69"/>
      <c r="V41" s="117"/>
      <c r="W41" s="69">
        <v>13105598</v>
      </c>
      <c r="X41" s="117"/>
      <c r="Y41" s="117"/>
      <c r="Z41" s="69">
        <v>11346387</v>
      </c>
      <c r="AA41" s="117"/>
      <c r="AB41" s="117"/>
      <c r="AC41" s="78">
        <v>10000000</v>
      </c>
      <c r="AD41" s="117"/>
      <c r="AF41" s="160">
        <v>10000000</v>
      </c>
      <c r="AG41" s="116">
        <f t="shared" si="20"/>
        <v>0</v>
      </c>
      <c r="AH41" s="188"/>
      <c r="AI41" s="108"/>
      <c r="AJ41" s="155"/>
      <c r="AK41" s="108"/>
      <c r="AL41" s="108"/>
    </row>
    <row r="42" spans="1:38" s="67" customFormat="1" ht="19.5" customHeight="1" x14ac:dyDescent="0.2">
      <c r="A42" s="198"/>
      <c r="B42" s="67" t="s">
        <v>61</v>
      </c>
      <c r="E42" s="202" t="s">
        <v>59</v>
      </c>
      <c r="F42" s="78">
        <v>847962</v>
      </c>
      <c r="G42" s="73"/>
      <c r="H42" s="78">
        <f>F42*1.02</f>
        <v>864921.24</v>
      </c>
      <c r="I42" s="73">
        <f t="shared" si="21"/>
        <v>2.0000000000000018E-2</v>
      </c>
      <c r="J42" s="73"/>
      <c r="K42" s="78">
        <v>1374844.1</v>
      </c>
      <c r="L42" s="73">
        <f t="shared" si="17"/>
        <v>0.58955987715135794</v>
      </c>
      <c r="M42" s="73"/>
      <c r="N42" s="78">
        <v>1437735.23</v>
      </c>
      <c r="O42" s="73">
        <f t="shared" si="18"/>
        <v>4.5744190195819101E-2</v>
      </c>
      <c r="P42" s="73"/>
      <c r="Q42" s="78">
        <v>1624751</v>
      </c>
      <c r="R42" s="73">
        <f t="shared" si="19"/>
        <v>0.13007664144113651</v>
      </c>
      <c r="S42" s="73"/>
      <c r="T42" s="69">
        <v>1864430</v>
      </c>
      <c r="U42" s="69"/>
      <c r="V42" s="117"/>
      <c r="W42" s="69">
        <v>1583642</v>
      </c>
      <c r="X42" s="117"/>
      <c r="Y42" s="117"/>
      <c r="Z42" s="69">
        <v>1459289</v>
      </c>
      <c r="AA42" s="117"/>
      <c r="AB42" s="117"/>
      <c r="AC42" s="78">
        <v>1500000</v>
      </c>
      <c r="AD42" s="117"/>
      <c r="AF42" s="160">
        <v>1500000</v>
      </c>
      <c r="AG42" s="116">
        <f t="shared" si="20"/>
        <v>0</v>
      </c>
      <c r="AH42" s="188"/>
      <c r="AI42" s="108"/>
      <c r="AJ42" s="155"/>
      <c r="AK42" s="108"/>
      <c r="AL42" s="108"/>
    </row>
    <row r="43" spans="1:38" ht="19.5" customHeight="1" x14ac:dyDescent="0.2">
      <c r="A43" s="198"/>
      <c r="B43" s="70" t="s">
        <v>44</v>
      </c>
      <c r="C43" s="70"/>
      <c r="D43" s="70"/>
      <c r="E43" s="202" t="s">
        <v>60</v>
      </c>
      <c r="F43" s="79">
        <f>12880+278082</f>
        <v>290962</v>
      </c>
      <c r="G43" s="72"/>
      <c r="H43" s="79">
        <f>F43*1.02</f>
        <v>296781.24</v>
      </c>
      <c r="I43" s="72">
        <f t="shared" si="21"/>
        <v>2.0000000000000018E-2</v>
      </c>
      <c r="J43" s="72"/>
      <c r="K43" s="79">
        <v>373267.97</v>
      </c>
      <c r="L43" s="72">
        <f t="shared" si="17"/>
        <v>0.25772090580927554</v>
      </c>
      <c r="M43" s="72"/>
      <c r="N43" s="79">
        <v>312183.71000000002</v>
      </c>
      <c r="O43" s="72">
        <f t="shared" si="18"/>
        <v>-0.16364720498252228</v>
      </c>
      <c r="P43" s="72"/>
      <c r="Q43" s="79">
        <v>331393</v>
      </c>
      <c r="R43" s="72">
        <f t="shared" si="19"/>
        <v>6.1532006266438399E-2</v>
      </c>
      <c r="S43" s="72"/>
      <c r="T43" s="71">
        <v>319999</v>
      </c>
      <c r="U43" s="71"/>
      <c r="V43" s="119"/>
      <c r="W43" s="71">
        <v>308650</v>
      </c>
      <c r="X43" s="119"/>
      <c r="Y43" s="119"/>
      <c r="Z43" s="71">
        <v>281109</v>
      </c>
      <c r="AA43" s="119"/>
      <c r="AB43" s="119"/>
      <c r="AC43" s="79">
        <v>270000</v>
      </c>
      <c r="AD43" s="119"/>
      <c r="AE43" s="70"/>
      <c r="AF43" s="161">
        <v>180000</v>
      </c>
      <c r="AG43" s="116">
        <f t="shared" si="20"/>
        <v>-0.33333333333333337</v>
      </c>
      <c r="AH43" s="206"/>
      <c r="AI43" s="108"/>
      <c r="AJ43" s="155"/>
      <c r="AK43" s="108"/>
    </row>
    <row r="44" spans="1:38" s="75" customFormat="1" ht="26.25" customHeight="1" thickBot="1" x14ac:dyDescent="0.25">
      <c r="A44" s="207"/>
      <c r="B44" s="74" t="s">
        <v>36</v>
      </c>
      <c r="C44" s="208"/>
      <c r="D44" s="208"/>
      <c r="E44" s="208"/>
      <c r="F44" s="76">
        <f>SUM(F38:F43)</f>
        <v>14777913.699999999</v>
      </c>
      <c r="G44" s="77">
        <f>F44/F46</f>
        <v>8.6127569813661237E-2</v>
      </c>
      <c r="H44" s="76">
        <f>SUM(H38:H43)</f>
        <v>15494785.039999999</v>
      </c>
      <c r="I44" s="77">
        <f t="shared" si="21"/>
        <v>4.8509644497382487E-2</v>
      </c>
      <c r="J44" s="77">
        <f>H44/H46</f>
        <v>8.8609632895691737E-2</v>
      </c>
      <c r="K44" s="76">
        <f>SUM(K38:K43)</f>
        <v>17943997.300000001</v>
      </c>
      <c r="L44" s="77">
        <f t="shared" si="17"/>
        <v>0.15806687564088984</v>
      </c>
      <c r="M44" s="77">
        <f>K44/K46</f>
        <v>0.10122119043929712</v>
      </c>
      <c r="N44" s="76">
        <f>SUM(N38:N43)</f>
        <v>19191986.440000001</v>
      </c>
      <c r="O44" s="77">
        <f t="shared" si="18"/>
        <v>6.9549115458237498E-2</v>
      </c>
      <c r="P44" s="77">
        <f>N44/N46</f>
        <v>0.10989077404922754</v>
      </c>
      <c r="Q44" s="76">
        <f>SUM(Q38:Q43)</f>
        <v>23942462</v>
      </c>
      <c r="R44" s="77">
        <f t="shared" si="19"/>
        <v>0.24752391186037115</v>
      </c>
      <c r="S44" s="77">
        <f>Q44/Q46</f>
        <v>0.13401125082838172</v>
      </c>
      <c r="T44" s="76">
        <f>SUM(T36:T43)</f>
        <v>25438415</v>
      </c>
      <c r="U44" s="76"/>
      <c r="V44" s="118">
        <f>T44/T46</f>
        <v>0.13430133142355921</v>
      </c>
      <c r="W44" s="76">
        <f>SUM(W36:W43)</f>
        <v>25473860</v>
      </c>
      <c r="X44" s="118">
        <f>(W44-T44)/T44</f>
        <v>1.3933651133531707E-3</v>
      </c>
      <c r="Y44" s="118">
        <f>W44/W46</f>
        <v>0.13216617277714787</v>
      </c>
      <c r="Z44" s="76">
        <f>SUM(Z36:Z43)</f>
        <v>23843679</v>
      </c>
      <c r="AA44" s="118">
        <f>(Z44-W44)/W44</f>
        <v>-6.3994267064355376E-2</v>
      </c>
      <c r="AB44" s="118">
        <f>Z44/Z46</f>
        <v>0.11957722112939287</v>
      </c>
      <c r="AC44" s="230">
        <f>SUM(AC36:AC43)</f>
        <v>22470000</v>
      </c>
      <c r="AD44" s="118">
        <f>(AC44-Z44)/Z44</f>
        <v>-5.7611872731552875E-2</v>
      </c>
      <c r="AE44" s="118">
        <f>AC44/AC46</f>
        <v>0.11191167944203816</v>
      </c>
      <c r="AF44" s="136">
        <f>SUM(AF36:AF43)</f>
        <v>21880000</v>
      </c>
      <c r="AG44" s="164">
        <f t="shared" si="20"/>
        <v>-2.6257231864708519E-2</v>
      </c>
      <c r="AH44" s="201">
        <f>AF44/AF46</f>
        <v>0.11245836021052164</v>
      </c>
      <c r="AI44" s="149"/>
      <c r="AJ44" s="157"/>
      <c r="AK44" s="149"/>
      <c r="AL44" s="148"/>
    </row>
    <row r="45" spans="1:38" ht="13.5" thickTop="1" x14ac:dyDescent="0.2">
      <c r="A45" s="210"/>
      <c r="B45" s="67"/>
      <c r="C45" s="67"/>
      <c r="D45" s="67"/>
      <c r="E45" s="67"/>
      <c r="F45" s="69"/>
      <c r="G45" s="73"/>
      <c r="H45" s="69"/>
      <c r="I45" s="73"/>
      <c r="J45" s="73"/>
      <c r="K45" s="69"/>
      <c r="L45" s="73"/>
      <c r="M45" s="73"/>
      <c r="N45" s="69"/>
      <c r="O45" s="73"/>
      <c r="P45" s="73"/>
      <c r="Q45" s="69"/>
      <c r="R45" s="73"/>
      <c r="S45" s="73"/>
      <c r="T45" s="69"/>
      <c r="U45" s="69"/>
      <c r="V45" s="117"/>
      <c r="W45" s="69"/>
      <c r="X45" s="117"/>
      <c r="Y45" s="117"/>
      <c r="Z45" s="69"/>
      <c r="AA45" s="117"/>
      <c r="AB45" s="117"/>
      <c r="AC45" s="231"/>
      <c r="AD45" s="117"/>
      <c r="AE45" s="67"/>
      <c r="AF45" s="160"/>
      <c r="AG45" s="116"/>
      <c r="AH45" s="188"/>
    </row>
    <row r="46" spans="1:38" s="134" customFormat="1" ht="13.5" thickBot="1" x14ac:dyDescent="0.25">
      <c r="A46" s="217" t="s">
        <v>37</v>
      </c>
      <c r="B46" s="218"/>
      <c r="C46" s="218"/>
      <c r="D46" s="218"/>
      <c r="E46" s="218"/>
      <c r="F46" s="219">
        <f>F20+F26+F44+F33</f>
        <v>171581686.69999999</v>
      </c>
      <c r="G46" s="220">
        <f>SUM(G44+G33+G26+G20)</f>
        <v>1</v>
      </c>
      <c r="H46" s="219">
        <f>H20+H26+H44+H33</f>
        <v>174865695</v>
      </c>
      <c r="I46" s="220">
        <f>(H46/F46)-1</f>
        <v>1.9139620102592181E-2</v>
      </c>
      <c r="J46" s="220">
        <f>SUM(J44+J33+J26+J20)</f>
        <v>1</v>
      </c>
      <c r="K46" s="219">
        <f>K20+K26+K44+K33</f>
        <v>177275106.35000002</v>
      </c>
      <c r="L46" s="220">
        <f>(K46/H46)-1</f>
        <v>1.3778639372348245E-2</v>
      </c>
      <c r="M46" s="220">
        <f>SUM(M44+M33+M26+M20)</f>
        <v>0.99999999999999989</v>
      </c>
      <c r="N46" s="219">
        <f>N20+N26+N44+N33</f>
        <v>174646021.06999999</v>
      </c>
      <c r="O46" s="220">
        <f>(N46/K46)-1</f>
        <v>-1.4830538444632779E-2</v>
      </c>
      <c r="P46" s="220">
        <f>SUM(P44+P33+P26+P20)</f>
        <v>1</v>
      </c>
      <c r="Q46" s="219">
        <f>Q20+Q26+Q44+Q33</f>
        <v>178660089</v>
      </c>
      <c r="R46" s="220">
        <f>(Q46/N46)-1</f>
        <v>2.2984021653668973E-2</v>
      </c>
      <c r="S46" s="220">
        <f>SUM(S44+S33+S26+S20)</f>
        <v>1</v>
      </c>
      <c r="T46" s="219">
        <f>T44+T33+T26+T20</f>
        <v>189412977</v>
      </c>
      <c r="U46" s="219"/>
      <c r="V46" s="221">
        <f>T46/T46</f>
        <v>1</v>
      </c>
      <c r="W46" s="219">
        <f>W44+W33+W26+W20</f>
        <v>192741149</v>
      </c>
      <c r="X46" s="221">
        <f>(W46-T46)/T46</f>
        <v>1.7570981950196581E-2</v>
      </c>
      <c r="Y46" s="221">
        <f>W46/W46</f>
        <v>1</v>
      </c>
      <c r="Z46" s="219">
        <f>Z44+Z33+Z26+Z20</f>
        <v>199399842</v>
      </c>
      <c r="AA46" s="221">
        <f>(Z46-W46)/W46</f>
        <v>3.4547334778003216E-2</v>
      </c>
      <c r="AB46" s="221">
        <f>Z46/Z46</f>
        <v>1</v>
      </c>
      <c r="AC46" s="229">
        <f>AC44+AC33+AC26+AC20</f>
        <v>200783333</v>
      </c>
      <c r="AD46" s="221">
        <f>(AC46-Z46)/Z46</f>
        <v>6.93827530715897E-3</v>
      </c>
      <c r="AE46" s="221">
        <f>AC46/AC46</f>
        <v>1</v>
      </c>
      <c r="AF46" s="222">
        <f>AF44+AF33+AF26+AF20</f>
        <v>194560902</v>
      </c>
      <c r="AG46" s="223">
        <f t="shared" ref="AG46" si="22">(AF46/AC46)-1</f>
        <v>-3.0990774518121933E-2</v>
      </c>
      <c r="AH46" s="224">
        <f>AF46/AF46</f>
        <v>1</v>
      </c>
      <c r="AI46" s="149"/>
      <c r="AJ46" s="157"/>
      <c r="AK46" s="149"/>
      <c r="AL46" s="148"/>
    </row>
    <row r="47" spans="1:38" x14ac:dyDescent="0.2">
      <c r="T47" s="68"/>
      <c r="U47" s="68"/>
      <c r="Z47" s="68"/>
    </row>
    <row r="48" spans="1:38" x14ac:dyDescent="0.2">
      <c r="T48" s="68"/>
      <c r="U48" s="68"/>
    </row>
    <row r="52" spans="17:18" x14ac:dyDescent="0.2">
      <c r="Q52" s="69"/>
      <c r="R52" s="69"/>
    </row>
  </sheetData>
  <pageMargins left="0.45" right="0.45" top="0.5" bottom="0.5" header="0.3" footer="0.3"/>
  <pageSetup scale="6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36"/>
  <sheetViews>
    <sheetView workbookViewId="0">
      <selection activeCell="O37" sqref="O37"/>
    </sheetView>
  </sheetViews>
  <sheetFormatPr defaultRowHeight="15" x14ac:dyDescent="0.25"/>
  <cols>
    <col min="2" max="2" width="17.5703125" customWidth="1"/>
    <col min="3" max="3" width="21.85546875" customWidth="1"/>
    <col min="4" max="4" width="3.28515625" customWidth="1"/>
    <col min="5" max="5" width="14.28515625" bestFit="1" customWidth="1"/>
    <col min="6" max="6" width="2.85546875" customWidth="1"/>
    <col min="7" max="7" width="11.5703125" bestFit="1" customWidth="1"/>
    <col min="8" max="8" width="3.140625" customWidth="1"/>
    <col min="9" max="9" width="11.5703125" bestFit="1" customWidth="1"/>
    <col min="11" max="11" width="15.42578125" customWidth="1"/>
  </cols>
  <sheetData>
    <row r="3" spans="2:11" ht="30" x14ac:dyDescent="0.25">
      <c r="C3" s="92" t="s">
        <v>129</v>
      </c>
      <c r="D3" s="92"/>
      <c r="E3" s="92" t="s">
        <v>77</v>
      </c>
      <c r="F3" s="92"/>
      <c r="G3" s="92" t="s">
        <v>78</v>
      </c>
      <c r="H3" s="92"/>
      <c r="I3" s="92" t="s">
        <v>79</v>
      </c>
      <c r="K3" s="93" t="s">
        <v>135</v>
      </c>
    </row>
    <row r="4" spans="2:11" x14ac:dyDescent="0.25">
      <c r="B4" t="s">
        <v>99</v>
      </c>
      <c r="C4" s="89">
        <f>'[2]TOTAL OPERATING ALLOC'!$D$18</f>
        <v>47799390.759475455</v>
      </c>
      <c r="D4" s="89"/>
      <c r="E4" s="90">
        <f>'[3]TOTAL OPERATING ALLOC'!$B$10</f>
        <v>43813036.905565426</v>
      </c>
      <c r="F4" s="90"/>
      <c r="G4" s="90">
        <f>'[4]TOTAL OPERATING ALLOC'!$B$10</f>
        <v>43051280</v>
      </c>
      <c r="H4" s="90"/>
      <c r="I4" s="90">
        <f>'[5]TOTAL OPERATING ALLOC'!$B$10</f>
        <v>39246682.586999997</v>
      </c>
      <c r="J4" s="90"/>
      <c r="K4" s="91">
        <f>(C4-I4)/I4</f>
        <v>0.21792181169749214</v>
      </c>
    </row>
    <row r="5" spans="2:11" hidden="1" x14ac:dyDescent="0.25">
      <c r="B5" t="s">
        <v>132</v>
      </c>
      <c r="C5" s="89">
        <f>'[2]TOTAL OPERATING ALLOC'!$D$16</f>
        <v>42637895.594535187</v>
      </c>
      <c r="D5" s="89"/>
      <c r="E5" s="90">
        <f>'[3]TOTAL OPERATING ALLOC'!$B$14</f>
        <v>37410506</v>
      </c>
      <c r="F5" s="90"/>
      <c r="G5" s="90"/>
      <c r="H5" s="90"/>
      <c r="I5" s="90"/>
      <c r="J5" s="90"/>
      <c r="K5" s="91" t="e">
        <f t="shared" ref="K5:K31" si="0">(C5-I5)/I5</f>
        <v>#DIV/0!</v>
      </c>
    </row>
    <row r="6" spans="2:11" hidden="1" x14ac:dyDescent="0.25">
      <c r="B6" t="s">
        <v>133</v>
      </c>
      <c r="C6" s="89">
        <f>'[2]TOTAL OPERATING ALLOC'!$D$17</f>
        <v>5161495.1649402678</v>
      </c>
      <c r="D6" s="89"/>
      <c r="E6" s="90">
        <f>'[3]TOTAL OPERATING ALLOC'!$B$15</f>
        <v>6402530.9055654285</v>
      </c>
      <c r="F6" s="90"/>
      <c r="G6" s="90"/>
      <c r="H6" s="90"/>
      <c r="I6" s="90"/>
      <c r="J6" s="90"/>
      <c r="K6" s="91" t="e">
        <f t="shared" si="0"/>
        <v>#DIV/0!</v>
      </c>
    </row>
    <row r="7" spans="2:11" x14ac:dyDescent="0.25">
      <c r="B7" t="s">
        <v>134</v>
      </c>
      <c r="C7" s="89">
        <f>'[2]TOTAL OPERATING ALLOC'!$D$19</f>
        <v>-10594718</v>
      </c>
      <c r="D7" s="89"/>
      <c r="E7" s="90">
        <f>'[3]TOTAL OPERATING ALLOC'!$B$17</f>
        <v>-7756526</v>
      </c>
      <c r="F7" s="90"/>
      <c r="G7" s="90">
        <f>-[4]TUITION!$C$24</f>
        <v>-7700316</v>
      </c>
      <c r="H7" s="90"/>
      <c r="I7" s="90">
        <f>-[5]TUITION!$C$22</f>
        <v>-7579544</v>
      </c>
      <c r="J7" s="90"/>
      <c r="K7" s="91">
        <f t="shared" si="0"/>
        <v>0.3978041423072417</v>
      </c>
    </row>
    <row r="8" spans="2:11" x14ac:dyDescent="0.25">
      <c r="C8" s="89"/>
      <c r="D8" s="89"/>
      <c r="E8" s="90"/>
      <c r="F8" s="90"/>
      <c r="G8" s="90"/>
      <c r="H8" s="90"/>
      <c r="I8" s="90"/>
      <c r="J8" s="90"/>
      <c r="K8" s="91"/>
    </row>
    <row r="9" spans="2:11" x14ac:dyDescent="0.25">
      <c r="B9" t="s">
        <v>100</v>
      </c>
      <c r="C9" s="89">
        <f>'[2]TOTAL OPERATING ALLOC'!$E$18</f>
        <v>33651331.076888978</v>
      </c>
      <c r="D9" s="89"/>
      <c r="E9" s="90">
        <f>'[3]TOTAL OPERATING ALLOC'!$C$10</f>
        <v>32436826.84655796</v>
      </c>
      <c r="F9" s="90"/>
      <c r="G9" s="90">
        <f>'[4]TOTAL OPERATING ALLOC'!$C$10</f>
        <v>30257427</v>
      </c>
      <c r="H9" s="90"/>
      <c r="I9" s="90">
        <f>'[5]TOTAL OPERATING ALLOC'!$C$10</f>
        <v>28042284.774999999</v>
      </c>
      <c r="J9" s="90"/>
      <c r="K9" s="91">
        <f t="shared" si="0"/>
        <v>0.20002101636488284</v>
      </c>
    </row>
    <row r="10" spans="2:11" hidden="1" x14ac:dyDescent="0.25">
      <c r="B10" t="s">
        <v>132</v>
      </c>
      <c r="C10" s="89">
        <f>'[2]TOTAL OPERATING ALLOC'!$E$16</f>
        <v>28446751.715021037</v>
      </c>
      <c r="D10" s="89"/>
      <c r="E10" s="90">
        <f>'[3]TOTAL OPERATING ALLOC'!$C$14</f>
        <v>26608883</v>
      </c>
      <c r="F10" s="90"/>
      <c r="G10" s="90"/>
      <c r="H10" s="90"/>
      <c r="I10" s="90"/>
      <c r="J10" s="90"/>
      <c r="K10" s="91" t="e">
        <f t="shared" si="0"/>
        <v>#DIV/0!</v>
      </c>
    </row>
    <row r="11" spans="2:11" hidden="1" x14ac:dyDescent="0.25">
      <c r="B11" t="s">
        <v>133</v>
      </c>
      <c r="C11" s="89">
        <f>'[2]TOTAL OPERATING ALLOC'!$E$17</f>
        <v>5204579.3618679456</v>
      </c>
      <c r="D11" s="89"/>
      <c r="E11" s="90">
        <f>'[3]TOTAL OPERATING ALLOC'!$C$15</f>
        <v>5827943.8465579581</v>
      </c>
      <c r="F11" s="90"/>
      <c r="G11" s="90"/>
      <c r="H11" s="90"/>
      <c r="I11" s="90"/>
      <c r="J11" s="90"/>
      <c r="K11" s="91" t="e">
        <f t="shared" si="0"/>
        <v>#DIV/0!</v>
      </c>
    </row>
    <row r="12" spans="2:11" x14ac:dyDescent="0.25">
      <c r="B12" t="s">
        <v>134</v>
      </c>
      <c r="C12" s="89">
        <f>'[2]TOTAL OPERATING ALLOC'!$E$19</f>
        <v>-5030141</v>
      </c>
      <c r="D12" s="89"/>
      <c r="E12" s="90">
        <f>'[3]TOTAL OPERATING ALLOC'!$C$17</f>
        <v>-4529228</v>
      </c>
      <c r="F12" s="90"/>
      <c r="G12" s="90">
        <f>-[4]TUITION!$D$24</f>
        <v>-4089511</v>
      </c>
      <c r="H12" s="90"/>
      <c r="I12" s="90">
        <f>-[5]TUITION!$D$22</f>
        <v>-4307587</v>
      </c>
      <c r="J12" s="90"/>
      <c r="K12" s="91">
        <f t="shared" si="0"/>
        <v>0.16773985064027727</v>
      </c>
    </row>
    <row r="13" spans="2:11" x14ac:dyDescent="0.25">
      <c r="C13" s="89"/>
      <c r="D13" s="89"/>
      <c r="E13" s="90"/>
      <c r="F13" s="90"/>
      <c r="G13" s="90"/>
      <c r="H13" s="90"/>
      <c r="I13" s="90"/>
      <c r="J13" s="90"/>
      <c r="K13" s="91"/>
    </row>
    <row r="14" spans="2:11" x14ac:dyDescent="0.25">
      <c r="B14" t="s">
        <v>101</v>
      </c>
      <c r="C14" s="89">
        <f>'[2]TOTAL OPERATING ALLOC'!$F$18</f>
        <v>35194715.054938547</v>
      </c>
      <c r="D14" s="89"/>
      <c r="E14" s="90">
        <f>'[3]TOTAL OPERATING ALLOC'!$D$10</f>
        <v>34992353.386619002</v>
      </c>
      <c r="F14" s="90"/>
      <c r="G14" s="90">
        <f>'[4]TOTAL OPERATING ALLOC'!$D$10</f>
        <v>34640473</v>
      </c>
      <c r="H14" s="90"/>
      <c r="I14" s="90">
        <f>'[5]TOTAL OPERATING ALLOC'!$D$10</f>
        <v>32489402.892999999</v>
      </c>
      <c r="J14" s="90"/>
      <c r="K14" s="91">
        <f t="shared" si="0"/>
        <v>8.3267524824884392E-2</v>
      </c>
    </row>
    <row r="15" spans="2:11" hidden="1" x14ac:dyDescent="0.25">
      <c r="B15" t="s">
        <v>132</v>
      </c>
      <c r="C15" s="89">
        <f>'[2]TOTAL OPERATING ALLOC'!$F$16</f>
        <v>29275464.181405455</v>
      </c>
      <c r="D15" s="89"/>
      <c r="E15" s="90">
        <f>'[3]TOTAL OPERATING ALLOC'!$D$14</f>
        <v>28142021</v>
      </c>
      <c r="F15" s="90"/>
      <c r="G15" s="90"/>
      <c r="H15" s="90"/>
      <c r="I15" s="90"/>
      <c r="J15" s="90"/>
      <c r="K15" s="91" t="e">
        <f t="shared" si="0"/>
        <v>#DIV/0!</v>
      </c>
    </row>
    <row r="16" spans="2:11" hidden="1" x14ac:dyDescent="0.25">
      <c r="B16" t="s">
        <v>133</v>
      </c>
      <c r="C16" s="89">
        <f>'[2]TOTAL OPERATING ALLOC'!$F$17</f>
        <v>5919250.8735330915</v>
      </c>
      <c r="D16" s="89"/>
      <c r="E16" s="90">
        <f>'[3]TOTAL OPERATING ALLOC'!$D$15</f>
        <v>6850332.3866189988</v>
      </c>
      <c r="F16" s="90"/>
      <c r="G16" s="90"/>
      <c r="H16" s="90"/>
      <c r="I16" s="90"/>
      <c r="J16" s="90"/>
      <c r="K16" s="91" t="e">
        <f t="shared" si="0"/>
        <v>#DIV/0!</v>
      </c>
    </row>
    <row r="17" spans="2:11" x14ac:dyDescent="0.25">
      <c r="B17" t="s">
        <v>134</v>
      </c>
      <c r="C17" s="89">
        <f>'[2]TOTAL OPERATING ALLOC'!$F$19</f>
        <v>-3139875</v>
      </c>
      <c r="D17" s="89"/>
      <c r="E17" s="90">
        <f>'[3]TOTAL OPERATING ALLOC'!$D$17</f>
        <v>-2921210</v>
      </c>
      <c r="F17" s="90"/>
      <c r="G17" s="90">
        <f>-[4]TUITION!$E$24</f>
        <v>-2615671</v>
      </c>
      <c r="H17" s="90"/>
      <c r="I17" s="90">
        <f>-[5]TUITION!$E$22</f>
        <v>-2489825</v>
      </c>
      <c r="J17" s="90"/>
      <c r="K17" s="91">
        <f t="shared" si="0"/>
        <v>0.26108260620726359</v>
      </c>
    </row>
    <row r="18" spans="2:11" x14ac:dyDescent="0.25">
      <c r="C18" s="89"/>
      <c r="D18" s="89"/>
      <c r="E18" s="90"/>
      <c r="F18" s="90"/>
      <c r="G18" s="90"/>
      <c r="H18" s="90"/>
      <c r="I18" s="90"/>
      <c r="J18" s="90"/>
      <c r="K18" s="91"/>
    </row>
    <row r="19" spans="2:11" x14ac:dyDescent="0.25">
      <c r="B19" t="s">
        <v>102</v>
      </c>
      <c r="C19" s="89">
        <f>'[2]TOTAL OPERATING ALLOC'!$G$18</f>
        <v>5194835.3511684705</v>
      </c>
      <c r="D19" s="89"/>
      <c r="E19" s="90">
        <f>'[3]TOTAL OPERATING ALLOC'!$E$10</f>
        <v>5048310.7641667621</v>
      </c>
      <c r="F19" s="90"/>
      <c r="G19" s="90">
        <f>'[4]TOTAL OPERATING ALLOC'!$E$10</f>
        <v>4822133</v>
      </c>
      <c r="H19" s="90"/>
      <c r="I19" s="90">
        <f>'[5]TOTAL OPERATING ALLOC'!$E$10</f>
        <v>4470962.7450000001</v>
      </c>
      <c r="J19" s="90"/>
      <c r="K19" s="91">
        <f t="shared" si="0"/>
        <v>0.16190530931576133</v>
      </c>
    </row>
    <row r="20" spans="2:11" hidden="1" x14ac:dyDescent="0.25">
      <c r="B20" t="s">
        <v>132</v>
      </c>
      <c r="C20" s="89">
        <f>'[2]TOTAL OPERATING ALLOC'!$G$16</f>
        <v>4246878.5090383226</v>
      </c>
      <c r="D20" s="89"/>
      <c r="E20" s="90">
        <f>'[3]TOTAL OPERATING ALLOC'!$E$14</f>
        <v>4070567</v>
      </c>
      <c r="F20" s="90"/>
      <c r="G20" s="90"/>
      <c r="H20" s="90"/>
      <c r="I20" s="90"/>
      <c r="J20" s="90"/>
      <c r="K20" s="91" t="e">
        <f t="shared" si="0"/>
        <v>#DIV/0!</v>
      </c>
    </row>
    <row r="21" spans="2:11" hidden="1" x14ac:dyDescent="0.25">
      <c r="B21" t="s">
        <v>133</v>
      </c>
      <c r="C21" s="89">
        <f>'[2]TOTAL OPERATING ALLOC'!$G$17</f>
        <v>947956.84213014739</v>
      </c>
      <c r="D21" s="89"/>
      <c r="E21" s="90">
        <f>'[3]TOTAL OPERATING ALLOC'!$E$15</f>
        <v>977743.76416676189</v>
      </c>
      <c r="F21" s="90"/>
      <c r="G21" s="90"/>
      <c r="H21" s="90"/>
      <c r="I21" s="90"/>
      <c r="J21" s="90"/>
      <c r="K21" s="91" t="e">
        <f t="shared" si="0"/>
        <v>#DIV/0!</v>
      </c>
    </row>
    <row r="22" spans="2:11" x14ac:dyDescent="0.25">
      <c r="B22" t="s">
        <v>134</v>
      </c>
      <c r="C22" s="89">
        <f>'[2]TOTAL OPERATING ALLOC'!$G$19</f>
        <v>-62119</v>
      </c>
      <c r="D22" s="89"/>
      <c r="E22" s="90">
        <f>'[3]TOTAL OPERATING ALLOC'!$E$17</f>
        <v>-62119</v>
      </c>
      <c r="F22" s="90"/>
      <c r="G22" s="90">
        <f>-[4]TUITION!$F$24</f>
        <v>-62119</v>
      </c>
      <c r="H22" s="90"/>
      <c r="I22" s="90">
        <f>-[5]TUITION!$F$22</f>
        <v>-62119</v>
      </c>
      <c r="J22" s="90"/>
      <c r="K22" s="91">
        <f t="shared" si="0"/>
        <v>0</v>
      </c>
    </row>
    <row r="23" spans="2:11" x14ac:dyDescent="0.25">
      <c r="C23" s="89"/>
      <c r="D23" s="89"/>
      <c r="E23" s="90"/>
      <c r="F23" s="90"/>
      <c r="G23" s="90"/>
      <c r="H23" s="90"/>
      <c r="I23" s="90"/>
      <c r="J23" s="90"/>
      <c r="K23" s="91"/>
    </row>
    <row r="24" spans="2:11" x14ac:dyDescent="0.25">
      <c r="B24" t="s">
        <v>127</v>
      </c>
      <c r="C24" s="89">
        <f>'[2]TOTAL OPERATING ALLOC'!$H$18</f>
        <v>6800690.9256352261</v>
      </c>
      <c r="D24" s="89"/>
      <c r="E24" s="90">
        <f>'[3]TOTAL OPERATING ALLOC'!$F$10</f>
        <v>6343143.9786369167</v>
      </c>
      <c r="F24" s="90"/>
      <c r="G24" s="90">
        <f>'[4]TOTAL OPERATING ALLOC'!$F$10</f>
        <v>6295534</v>
      </c>
      <c r="H24" s="90"/>
      <c r="I24" s="90">
        <f>'[5]TOTAL OPERATING ALLOC'!$F$10</f>
        <v>6022010</v>
      </c>
      <c r="J24" s="90"/>
      <c r="K24" s="91">
        <f t="shared" si="0"/>
        <v>0.12930581743225703</v>
      </c>
    </row>
    <row r="25" spans="2:11" hidden="1" x14ac:dyDescent="0.25">
      <c r="B25" t="s">
        <v>132</v>
      </c>
      <c r="C25" s="89">
        <f>'[2]TOTAL OPERATING ALLOC'!$H$16</f>
        <v>5669401</v>
      </c>
      <c r="D25" s="89"/>
      <c r="E25" s="90">
        <f>'[3]TOTAL OPERATING ALLOC'!$F$14</f>
        <v>5407103</v>
      </c>
      <c r="F25" s="90"/>
      <c r="G25" s="90"/>
      <c r="H25" s="90"/>
      <c r="I25" s="90"/>
      <c r="J25" s="90"/>
      <c r="K25" s="91" t="e">
        <f t="shared" si="0"/>
        <v>#DIV/0!</v>
      </c>
    </row>
    <row r="26" spans="2:11" hidden="1" x14ac:dyDescent="0.25">
      <c r="B26" t="s">
        <v>133</v>
      </c>
      <c r="C26" s="89">
        <f>'[2]TOTAL OPERATING ALLOC'!$H$17</f>
        <v>1131289.9256352256</v>
      </c>
      <c r="D26" s="89"/>
      <c r="E26" s="90">
        <f>'[3]TOTAL OPERATING ALLOC'!$F$15</f>
        <v>936040.97863691684</v>
      </c>
      <c r="F26" s="90"/>
      <c r="G26" s="90"/>
      <c r="H26" s="90"/>
      <c r="I26" s="90"/>
      <c r="J26" s="90"/>
      <c r="K26" s="91" t="e">
        <f t="shared" si="0"/>
        <v>#DIV/0!</v>
      </c>
    </row>
    <row r="27" spans="2:11" x14ac:dyDescent="0.25">
      <c r="B27" t="s">
        <v>134</v>
      </c>
      <c r="C27" s="89">
        <f>'[2]TOTAL OPERATING ALLOC'!$H$19</f>
        <v>-1120785</v>
      </c>
      <c r="D27" s="89"/>
      <c r="E27" s="90">
        <f>'[3]TOTAL OPERATING ALLOC'!$F$17</f>
        <v>-900000</v>
      </c>
      <c r="F27" s="90"/>
      <c r="G27" s="90">
        <f>-[4]TUITION!$G$24</f>
        <v>-650000</v>
      </c>
      <c r="H27" s="90"/>
      <c r="I27" s="90">
        <f>-[5]TUITION!$G$22</f>
        <v>-650000</v>
      </c>
      <c r="J27" s="90"/>
      <c r="K27" s="91">
        <f t="shared" si="0"/>
        <v>0.72428461538461542</v>
      </c>
    </row>
    <row r="28" spans="2:11" x14ac:dyDescent="0.25">
      <c r="C28" s="89"/>
      <c r="D28" s="89"/>
      <c r="E28" s="90"/>
      <c r="F28" s="90"/>
      <c r="G28" s="90"/>
      <c r="H28" s="90"/>
      <c r="I28" s="90"/>
      <c r="J28" s="90"/>
      <c r="K28" s="91"/>
    </row>
    <row r="29" spans="2:11" x14ac:dyDescent="0.25">
      <c r="B29" t="s">
        <v>128</v>
      </c>
      <c r="C29" s="89">
        <f>'[2]TOTAL OPERATING ALLOC'!$I$18</f>
        <v>4949187.2318933215</v>
      </c>
      <c r="D29" s="89"/>
      <c r="E29" s="90">
        <f>'[3]TOTAL OPERATING ALLOC'!$G$10</f>
        <v>4601720.1184539348</v>
      </c>
      <c r="F29" s="90"/>
      <c r="G29" s="90">
        <f>'[4]TOTAL OPERATING ALLOC'!$G$10</f>
        <v>4976321</v>
      </c>
      <c r="H29" s="90"/>
      <c r="I29" s="90">
        <f>'[5]TOTAL OPERATING ALLOC'!$G$10</f>
        <v>4776058</v>
      </c>
      <c r="J29" s="90"/>
      <c r="K29" s="91">
        <f t="shared" si="0"/>
        <v>3.6249398958999555E-2</v>
      </c>
    </row>
    <row r="30" spans="2:11" hidden="1" x14ac:dyDescent="0.25">
      <c r="B30" t="s">
        <v>132</v>
      </c>
      <c r="C30" s="89">
        <f>'[2]TOTAL OPERATING ALLOC'!$I$16</f>
        <v>2429454</v>
      </c>
      <c r="E30" s="90">
        <f>'[3]TOTAL OPERATING ALLOC'!$G$14</f>
        <v>2289718</v>
      </c>
      <c r="F30" s="90"/>
      <c r="G30" s="90"/>
      <c r="H30" s="90"/>
      <c r="I30" s="90"/>
      <c r="J30" s="90"/>
      <c r="K30" s="91" t="e">
        <f t="shared" si="0"/>
        <v>#DIV/0!</v>
      </c>
    </row>
    <row r="31" spans="2:11" hidden="1" x14ac:dyDescent="0.25">
      <c r="B31" t="s">
        <v>133</v>
      </c>
      <c r="C31" s="89">
        <f>'[2]TOTAL OPERATING ALLOC'!$I$17</f>
        <v>2519733.2318933215</v>
      </c>
      <c r="E31" s="90">
        <f>'[3]TOTAL OPERATING ALLOC'!$G$15</f>
        <v>2312002.1184539348</v>
      </c>
      <c r="F31" s="90"/>
      <c r="G31" s="90"/>
      <c r="H31" s="90"/>
      <c r="I31" s="90"/>
      <c r="J31" s="90"/>
      <c r="K31" s="91" t="e">
        <f t="shared" si="0"/>
        <v>#DIV/0!</v>
      </c>
    </row>
    <row r="32" spans="2:11" x14ac:dyDescent="0.25">
      <c r="B32" t="s">
        <v>134</v>
      </c>
      <c r="C32">
        <f>'[2]TOTAL OPERATING ALLOC'!$I$19</f>
        <v>0</v>
      </c>
      <c r="E32" s="90">
        <f>'[3]TOTAL OPERATING ALLOC'!$G$17</f>
        <v>0</v>
      </c>
      <c r="F32" s="90"/>
      <c r="G32" s="90">
        <f>-[4]TUITION!$H$24</f>
        <v>0</v>
      </c>
      <c r="H32" s="90"/>
      <c r="I32" s="90">
        <f>-[5]TUITION!$H$22</f>
        <v>0</v>
      </c>
      <c r="J32" s="90"/>
      <c r="K32" s="91"/>
    </row>
    <row r="36" spans="2:2" x14ac:dyDescent="0.25">
      <c r="B36" t="s">
        <v>136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10"/>
  <sheetViews>
    <sheetView topLeftCell="A4" workbookViewId="0">
      <selection activeCell="N40" sqref="N40"/>
    </sheetView>
  </sheetViews>
  <sheetFormatPr defaultRowHeight="15" x14ac:dyDescent="0.25"/>
  <cols>
    <col min="2" max="2" width="21.140625" bestFit="1" customWidth="1"/>
    <col min="3" max="11" width="14.28515625" bestFit="1" customWidth="1"/>
  </cols>
  <sheetData>
    <row r="5" spans="2:11" x14ac:dyDescent="0.25">
      <c r="C5" s="95" t="s">
        <v>142</v>
      </c>
      <c r="D5" s="95" t="s">
        <v>141</v>
      </c>
      <c r="E5" s="95" t="s">
        <v>131</v>
      </c>
      <c r="F5" s="95" t="s">
        <v>130</v>
      </c>
      <c r="G5" s="95" t="s">
        <v>79</v>
      </c>
      <c r="H5" s="95" t="s">
        <v>78</v>
      </c>
      <c r="I5" s="95" t="s">
        <v>77</v>
      </c>
      <c r="J5" s="95" t="s">
        <v>129</v>
      </c>
      <c r="K5" s="95" t="s">
        <v>158</v>
      </c>
    </row>
    <row r="6" spans="2:11" x14ac:dyDescent="0.25">
      <c r="B6" t="s">
        <v>160</v>
      </c>
      <c r="C6" s="90">
        <f>'FY2013'!F14</f>
        <v>8829910</v>
      </c>
      <c r="D6" s="90">
        <f>'FY2013'!H14</f>
        <v>9093437</v>
      </c>
      <c r="E6" s="90">
        <f>'FY2013'!K14</f>
        <v>10082716</v>
      </c>
      <c r="F6" s="90">
        <f>'FY2013'!N14</f>
        <v>11456624</v>
      </c>
      <c r="G6" s="90">
        <f>'FY2013'!Q14</f>
        <v>14115565</v>
      </c>
      <c r="H6" s="90">
        <f>'FY2013'!T14</f>
        <v>11653905</v>
      </c>
      <c r="I6" s="90">
        <f>'FY2013'!W14</f>
        <v>12306263</v>
      </c>
      <c r="J6" s="90">
        <f>'FY2013'!Z14</f>
        <v>18447638</v>
      </c>
      <c r="K6" s="90">
        <f>'FY2013'!AC14</f>
        <v>22657410.999999996</v>
      </c>
    </row>
    <row r="7" spans="2:11" x14ac:dyDescent="0.25">
      <c r="B7" t="s">
        <v>161</v>
      </c>
      <c r="C7" s="90">
        <f>'FY2013'!F24</f>
        <v>12525517</v>
      </c>
      <c r="D7" s="90">
        <f>'FY2013'!H24</f>
        <v>13049177</v>
      </c>
      <c r="E7" s="90">
        <f>'FY2013'!K24</f>
        <v>13705866.310000001</v>
      </c>
      <c r="F7" s="90">
        <f>'FY2013'!N24</f>
        <v>16055745.460000001</v>
      </c>
      <c r="G7" s="90">
        <f>'FY2013'!Q24</f>
        <v>15619442</v>
      </c>
      <c r="H7" s="90">
        <f>'FY2013'!T24</f>
        <v>15616990</v>
      </c>
      <c r="I7" s="90">
        <f>'FY2013'!W24</f>
        <v>23931439</v>
      </c>
      <c r="J7" s="90">
        <f>'FY2013'!Z24</f>
        <v>21310789</v>
      </c>
      <c r="K7" s="90">
        <f>'FY2013'!AC24</f>
        <v>20000000</v>
      </c>
    </row>
    <row r="8" spans="2:11" x14ac:dyDescent="0.25">
      <c r="B8" t="s">
        <v>162</v>
      </c>
      <c r="C8" s="90">
        <f>'FY2013'!F41</f>
        <v>7189336</v>
      </c>
      <c r="D8" s="90">
        <f>'FY2013'!H41</f>
        <v>7333122.7199999997</v>
      </c>
      <c r="E8" s="90">
        <f>'FY2013'!K41</f>
        <v>8321138.4100000001</v>
      </c>
      <c r="F8" s="90">
        <f>'FY2013'!N41</f>
        <v>9882540.8100000005</v>
      </c>
      <c r="G8" s="90">
        <f>'FY2013'!Q41</f>
        <v>14353369</v>
      </c>
      <c r="H8" s="90">
        <f>'FY2013'!T41</f>
        <v>11752089</v>
      </c>
      <c r="I8" s="90">
        <f>'FY2013'!W41</f>
        <v>13105598</v>
      </c>
      <c r="J8" s="90">
        <f>'FY2013'!Z41</f>
        <v>11346387</v>
      </c>
      <c r="K8" s="90">
        <f>'FY2013'!AC41</f>
        <v>10000000</v>
      </c>
    </row>
    <row r="9" spans="2:11" x14ac:dyDescent="0.25">
      <c r="B9" t="s">
        <v>12</v>
      </c>
      <c r="C9" s="139">
        <f>'FY2013'!F10</f>
        <v>25586735</v>
      </c>
      <c r="D9" s="139">
        <f>'FY2013'!H10</f>
        <v>26984901</v>
      </c>
      <c r="E9" s="139">
        <f>'FY2013'!K10</f>
        <v>32044273</v>
      </c>
      <c r="F9" s="139">
        <f>'FY2013'!N10</f>
        <v>32813127</v>
      </c>
      <c r="G9" s="139">
        <f>'FY2013'!Q11+'FY2013'!Q12+'FY2013'!Q13</f>
        <v>35813578</v>
      </c>
      <c r="H9" s="139">
        <f>'FY2013'!T11+'FY2013'!T12+'FY2013'!T13</f>
        <v>41175983</v>
      </c>
      <c r="I9" s="139">
        <f>'FY2013'!W11+'FY2013'!W12+'FY2013'!W13</f>
        <v>34717734</v>
      </c>
      <c r="J9" s="139">
        <f>'FY2013'!Z11+'FY2013'!Z12+'FY2013'!Z13</f>
        <v>31854703</v>
      </c>
      <c r="K9" s="139">
        <f>'FY2013'!AC11+'FY2013'!AC12+'FY2013'!AC13</f>
        <v>31956243.000000004</v>
      </c>
    </row>
    <row r="10" spans="2:11" x14ac:dyDescent="0.25">
      <c r="C10" s="138">
        <f>SUM(C6:C9)</f>
        <v>54131498</v>
      </c>
      <c r="D10" s="138">
        <f t="shared" ref="D10:K10" si="0">SUM(D6:D9)</f>
        <v>56460637.719999999</v>
      </c>
      <c r="E10" s="138">
        <f t="shared" si="0"/>
        <v>64153993.719999999</v>
      </c>
      <c r="F10" s="138">
        <f t="shared" si="0"/>
        <v>70208037.270000011</v>
      </c>
      <c r="G10" s="138">
        <f t="shared" si="0"/>
        <v>79901954</v>
      </c>
      <c r="H10" s="138">
        <f t="shared" si="0"/>
        <v>80198967</v>
      </c>
      <c r="I10" s="138">
        <f t="shared" si="0"/>
        <v>84061034</v>
      </c>
      <c r="J10" s="138">
        <f t="shared" si="0"/>
        <v>82959517</v>
      </c>
      <c r="K10" s="138">
        <f t="shared" si="0"/>
        <v>84613654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5"/>
  <sheetViews>
    <sheetView workbookViewId="0">
      <selection activeCell="F34" sqref="F34"/>
    </sheetView>
  </sheetViews>
  <sheetFormatPr defaultRowHeight="15" x14ac:dyDescent="0.25"/>
  <cols>
    <col min="2" max="2" width="19" customWidth="1"/>
    <col min="12" max="12" width="17.42578125" style="101" customWidth="1"/>
  </cols>
  <sheetData>
    <row r="3" spans="2:12" ht="30" x14ac:dyDescent="0.25">
      <c r="C3" s="95" t="s">
        <v>129</v>
      </c>
      <c r="D3" s="95" t="s">
        <v>77</v>
      </c>
      <c r="E3" s="95" t="s">
        <v>78</v>
      </c>
      <c r="F3" s="95" t="s">
        <v>79</v>
      </c>
      <c r="G3" s="95" t="s">
        <v>130</v>
      </c>
      <c r="H3" s="95" t="s">
        <v>131</v>
      </c>
      <c r="I3" s="95" t="s">
        <v>141</v>
      </c>
      <c r="J3" s="95" t="s">
        <v>142</v>
      </c>
      <c r="L3" s="102" t="s">
        <v>147</v>
      </c>
    </row>
    <row r="4" spans="2:12" x14ac:dyDescent="0.25">
      <c r="B4" t="s">
        <v>143</v>
      </c>
      <c r="C4" s="94">
        <v>20.67</v>
      </c>
      <c r="D4" s="94">
        <v>21</v>
      </c>
      <c r="E4" s="94">
        <v>22.19</v>
      </c>
      <c r="F4" s="94">
        <v>22.31</v>
      </c>
      <c r="G4" s="94">
        <v>23.1</v>
      </c>
      <c r="H4" s="94">
        <v>23.68</v>
      </c>
      <c r="I4" s="94">
        <v>24.3</v>
      </c>
      <c r="J4" s="94">
        <v>22.65</v>
      </c>
      <c r="L4" s="100">
        <f>-1*(I4-C4)/I4</f>
        <v>-0.14938271604938266</v>
      </c>
    </row>
    <row r="5" spans="2:12" x14ac:dyDescent="0.25">
      <c r="B5" t="s">
        <v>137</v>
      </c>
      <c r="C5" s="94">
        <v>15.7</v>
      </c>
      <c r="D5" s="94">
        <v>15.83</v>
      </c>
      <c r="E5" s="94">
        <v>18.87</v>
      </c>
      <c r="F5" s="94">
        <v>17.899999999999999</v>
      </c>
      <c r="G5" s="94">
        <v>19.03</v>
      </c>
      <c r="H5" s="94">
        <v>20.079999999999998</v>
      </c>
      <c r="I5" s="94">
        <v>20.5</v>
      </c>
      <c r="J5" s="94">
        <v>18.829999999999998</v>
      </c>
      <c r="L5" s="100">
        <f t="shared" ref="L5:L26" si="0">-1*(I5-C5)/I5</f>
        <v>-0.23414634146341468</v>
      </c>
    </row>
    <row r="6" spans="2:12" x14ac:dyDescent="0.25">
      <c r="B6" t="s">
        <v>138</v>
      </c>
      <c r="C6" s="94">
        <v>4685.97</v>
      </c>
      <c r="D6" s="94">
        <v>4855.4399999999996</v>
      </c>
      <c r="E6" s="94">
        <v>5633.96</v>
      </c>
      <c r="F6" s="94">
        <v>5195.3999999999996</v>
      </c>
      <c r="G6" s="94">
        <v>5396.55</v>
      </c>
      <c r="H6" s="94">
        <v>5852.27</v>
      </c>
      <c r="I6" s="94">
        <v>5908.39</v>
      </c>
      <c r="J6" s="94">
        <v>5478.01</v>
      </c>
      <c r="L6" s="100">
        <f t="shared" si="0"/>
        <v>-0.20689561792637251</v>
      </c>
    </row>
    <row r="7" spans="2:12" x14ac:dyDescent="0.25">
      <c r="B7" t="s">
        <v>139</v>
      </c>
      <c r="C7" s="94">
        <v>1482.93</v>
      </c>
      <c r="D7" s="94">
        <v>1586.62</v>
      </c>
      <c r="E7" s="94">
        <v>991.5</v>
      </c>
      <c r="F7" s="94">
        <v>1277.82</v>
      </c>
      <c r="G7" s="94">
        <v>1154.02</v>
      </c>
      <c r="H7" s="94">
        <v>1050.1300000000001</v>
      </c>
      <c r="I7" s="94">
        <v>1094.52</v>
      </c>
      <c r="J7" s="94">
        <v>1108.47</v>
      </c>
      <c r="L7" s="100">
        <f t="shared" si="0"/>
        <v>0.35486788729306007</v>
      </c>
    </row>
    <row r="8" spans="2:12" x14ac:dyDescent="0.25">
      <c r="B8" t="s">
        <v>140</v>
      </c>
      <c r="C8" s="94">
        <v>298.51</v>
      </c>
      <c r="D8" s="94">
        <v>306.70999999999998</v>
      </c>
      <c r="E8" s="94">
        <v>298.63</v>
      </c>
      <c r="F8" s="94">
        <v>290.19</v>
      </c>
      <c r="G8" s="94">
        <v>283.60000000000002</v>
      </c>
      <c r="H8" s="94">
        <v>291.5</v>
      </c>
      <c r="I8" s="94">
        <v>288.23</v>
      </c>
      <c r="J8" s="94">
        <v>290.85000000000002</v>
      </c>
      <c r="L8" s="100">
        <f t="shared" si="0"/>
        <v>3.5665961211532357E-2</v>
      </c>
    </row>
    <row r="9" spans="2:12" x14ac:dyDescent="0.25">
      <c r="L9" s="100"/>
    </row>
    <row r="10" spans="2:12" x14ac:dyDescent="0.25">
      <c r="B10" t="s">
        <v>144</v>
      </c>
      <c r="C10" s="94">
        <v>21.29</v>
      </c>
      <c r="D10" s="94">
        <v>21.91</v>
      </c>
      <c r="E10" s="94">
        <v>22.17</v>
      </c>
      <c r="F10" s="94">
        <v>23.04</v>
      </c>
      <c r="G10" s="94">
        <v>23.89</v>
      </c>
      <c r="H10" s="94">
        <v>23.47</v>
      </c>
      <c r="I10" s="94">
        <v>23.61</v>
      </c>
      <c r="J10" s="94">
        <v>22.47</v>
      </c>
      <c r="L10" s="100">
        <f t="shared" si="0"/>
        <v>-9.8263447691656097E-2</v>
      </c>
    </row>
    <row r="11" spans="2:12" x14ac:dyDescent="0.25">
      <c r="B11" t="s">
        <v>137</v>
      </c>
      <c r="C11" s="94">
        <v>17.03</v>
      </c>
      <c r="D11" s="94">
        <v>17.37</v>
      </c>
      <c r="E11" s="94">
        <v>18.3</v>
      </c>
      <c r="F11" s="94">
        <v>19</v>
      </c>
      <c r="G11" s="94">
        <v>20.09</v>
      </c>
      <c r="H11" s="94">
        <v>20.04</v>
      </c>
      <c r="I11" s="94">
        <v>20.37</v>
      </c>
      <c r="J11" s="94">
        <v>19.25</v>
      </c>
      <c r="L11" s="100">
        <f t="shared" si="0"/>
        <v>-0.16396661757486497</v>
      </c>
    </row>
    <row r="12" spans="2:12" x14ac:dyDescent="0.25">
      <c r="B12" t="s">
        <v>138</v>
      </c>
      <c r="C12" s="94">
        <v>3807.29</v>
      </c>
      <c r="D12" s="94">
        <v>3940.97</v>
      </c>
      <c r="E12" s="94">
        <v>4022.93</v>
      </c>
      <c r="F12" s="94">
        <v>3934.14</v>
      </c>
      <c r="G12" s="94">
        <v>4096.3599999999997</v>
      </c>
      <c r="H12" s="94">
        <v>4371.24</v>
      </c>
      <c r="I12" s="94">
        <v>4387.79</v>
      </c>
      <c r="J12" s="94">
        <v>4118.95</v>
      </c>
      <c r="L12" s="100">
        <f t="shared" si="0"/>
        <v>-0.13229894776185733</v>
      </c>
    </row>
    <row r="13" spans="2:12" x14ac:dyDescent="0.25">
      <c r="B13" t="s">
        <v>139</v>
      </c>
      <c r="C13" s="94">
        <v>953.57</v>
      </c>
      <c r="D13" s="94">
        <v>1031.52</v>
      </c>
      <c r="E13" s="94">
        <v>849.6</v>
      </c>
      <c r="F13" s="94">
        <v>837.09</v>
      </c>
      <c r="G13" s="94">
        <v>775.04</v>
      </c>
      <c r="H13" s="94">
        <v>749.17</v>
      </c>
      <c r="I13" s="94">
        <v>698.58</v>
      </c>
      <c r="J13" s="94">
        <v>690.75</v>
      </c>
      <c r="L13" s="100">
        <f t="shared" si="0"/>
        <v>0.36501188124481088</v>
      </c>
    </row>
    <row r="14" spans="2:12" x14ac:dyDescent="0.25">
      <c r="B14" t="s">
        <v>140</v>
      </c>
      <c r="C14" s="94">
        <v>223.59</v>
      </c>
      <c r="D14" s="94">
        <v>226.9</v>
      </c>
      <c r="E14" s="94">
        <v>219.8</v>
      </c>
      <c r="F14" s="94">
        <v>207.08</v>
      </c>
      <c r="G14" s="94">
        <v>203.94</v>
      </c>
      <c r="H14" s="94">
        <v>218.14</v>
      </c>
      <c r="I14" s="94">
        <v>215.43</v>
      </c>
      <c r="J14" s="94">
        <v>214.01</v>
      </c>
      <c r="L14" s="100">
        <f t="shared" si="0"/>
        <v>3.7877732906280444E-2</v>
      </c>
    </row>
    <row r="15" spans="2:12" x14ac:dyDescent="0.25">
      <c r="L15" s="100"/>
    </row>
    <row r="16" spans="2:12" ht="16.5" customHeight="1" x14ac:dyDescent="0.25">
      <c r="B16" t="s">
        <v>145</v>
      </c>
      <c r="C16" s="94">
        <v>19.5</v>
      </c>
      <c r="D16" s="94">
        <v>19.989999999999998</v>
      </c>
      <c r="E16" s="94">
        <v>19.96</v>
      </c>
      <c r="F16" s="94">
        <v>20.61</v>
      </c>
      <c r="G16" s="94">
        <v>21.85</v>
      </c>
      <c r="H16" s="94">
        <v>21.93</v>
      </c>
      <c r="I16" s="94">
        <v>22.32</v>
      </c>
      <c r="J16" s="94">
        <v>21.19</v>
      </c>
      <c r="L16" s="100">
        <f t="shared" si="0"/>
        <v>-0.12634408602150538</v>
      </c>
    </row>
    <row r="17" spans="2:12" x14ac:dyDescent="0.25">
      <c r="B17" t="s">
        <v>137</v>
      </c>
      <c r="C17" s="94">
        <v>17.27</v>
      </c>
      <c r="D17" s="94">
        <v>17.829999999999998</v>
      </c>
      <c r="E17" s="94">
        <v>18.88</v>
      </c>
      <c r="F17" s="94">
        <v>19.09</v>
      </c>
      <c r="G17" s="94">
        <v>20.079999999999998</v>
      </c>
      <c r="H17" s="94">
        <v>20.170000000000002</v>
      </c>
      <c r="I17" s="94">
        <v>20.58</v>
      </c>
      <c r="J17" s="94">
        <v>19.399999999999999</v>
      </c>
      <c r="L17" s="100">
        <f t="shared" si="0"/>
        <v>-0.16083576287657916</v>
      </c>
    </row>
    <row r="18" spans="2:12" x14ac:dyDescent="0.25">
      <c r="B18" t="s">
        <v>138</v>
      </c>
      <c r="C18" s="94">
        <v>4579.93</v>
      </c>
      <c r="D18" s="94">
        <v>4450.1000000000004</v>
      </c>
      <c r="E18" s="94">
        <v>4602.28</v>
      </c>
      <c r="F18" s="94">
        <v>4396.1099999999997</v>
      </c>
      <c r="G18" s="94">
        <v>4595.1499999999996</v>
      </c>
      <c r="H18" s="94">
        <v>4735.13</v>
      </c>
      <c r="I18" s="94">
        <v>4773.8999999999996</v>
      </c>
      <c r="J18" s="94">
        <v>4709.45</v>
      </c>
      <c r="L18" s="100">
        <f t="shared" si="0"/>
        <v>-4.0631349630281186E-2</v>
      </c>
    </row>
    <row r="19" spans="2:12" x14ac:dyDescent="0.25">
      <c r="B19" t="s">
        <v>139</v>
      </c>
      <c r="C19" s="94">
        <v>591.12</v>
      </c>
      <c r="D19" s="94">
        <v>538.09</v>
      </c>
      <c r="E19" s="94">
        <v>263.81</v>
      </c>
      <c r="F19" s="94">
        <v>350.79</v>
      </c>
      <c r="G19" s="94">
        <v>404.5</v>
      </c>
      <c r="H19" s="94">
        <v>414.27</v>
      </c>
      <c r="I19" s="94">
        <v>404.4</v>
      </c>
      <c r="J19" s="94">
        <v>435.55</v>
      </c>
      <c r="L19" s="100">
        <f t="shared" si="0"/>
        <v>0.46172106824925824</v>
      </c>
    </row>
    <row r="20" spans="2:12" x14ac:dyDescent="0.25">
      <c r="B20" t="s">
        <v>140</v>
      </c>
      <c r="C20" s="94">
        <v>265.25</v>
      </c>
      <c r="D20" s="94">
        <v>249.55</v>
      </c>
      <c r="E20" s="94">
        <v>243.79</v>
      </c>
      <c r="F20" s="94">
        <v>230.41</v>
      </c>
      <c r="G20" s="94">
        <v>228.81</v>
      </c>
      <c r="H20" s="94">
        <v>234.77</v>
      </c>
      <c r="I20" s="94">
        <v>231.97</v>
      </c>
      <c r="J20" s="94">
        <v>242.78</v>
      </c>
      <c r="L20" s="100">
        <f t="shared" si="0"/>
        <v>0.14346682760701815</v>
      </c>
    </row>
    <row r="21" spans="2:12" x14ac:dyDescent="0.25">
      <c r="L21" s="100"/>
    </row>
    <row r="22" spans="2:12" x14ac:dyDescent="0.25">
      <c r="B22" t="s">
        <v>146</v>
      </c>
      <c r="C22" s="94">
        <v>14.33</v>
      </c>
      <c r="D22" s="94">
        <v>15.96</v>
      </c>
      <c r="E22" s="94">
        <v>19.28</v>
      </c>
      <c r="F22" s="94">
        <v>20.32</v>
      </c>
      <c r="G22" s="94">
        <v>18.350000000000001</v>
      </c>
      <c r="H22" s="94">
        <v>19.86</v>
      </c>
      <c r="I22" s="94">
        <v>24.33</v>
      </c>
      <c r="J22" s="94">
        <v>20.8</v>
      </c>
      <c r="L22" s="100">
        <f t="shared" si="0"/>
        <v>-0.41101520756267979</v>
      </c>
    </row>
    <row r="23" spans="2:12" x14ac:dyDescent="0.25">
      <c r="B23" t="s">
        <v>137</v>
      </c>
      <c r="C23" s="94">
        <v>13.61</v>
      </c>
      <c r="D23" s="94">
        <v>15.24</v>
      </c>
      <c r="E23" s="94">
        <v>18.52</v>
      </c>
      <c r="F23" s="94">
        <v>19.73</v>
      </c>
      <c r="G23" s="94">
        <v>17.309999999999999</v>
      </c>
      <c r="H23" s="94">
        <v>18.82</v>
      </c>
      <c r="I23" s="94">
        <v>23.26</v>
      </c>
      <c r="J23" s="94">
        <v>20.8</v>
      </c>
      <c r="L23" s="100">
        <f t="shared" si="0"/>
        <v>-0.41487532244196051</v>
      </c>
    </row>
    <row r="24" spans="2:12" x14ac:dyDescent="0.25">
      <c r="B24" t="s">
        <v>138</v>
      </c>
      <c r="C24" s="94">
        <v>363.01</v>
      </c>
      <c r="D24" s="94">
        <v>386.19</v>
      </c>
      <c r="E24" s="94">
        <v>466.67</v>
      </c>
      <c r="F24" s="94">
        <v>543.75</v>
      </c>
      <c r="G24" s="94">
        <v>603.75</v>
      </c>
      <c r="H24" s="94">
        <v>699.7</v>
      </c>
      <c r="I24" s="94">
        <v>774.63</v>
      </c>
      <c r="J24" s="94">
        <v>718.36</v>
      </c>
      <c r="L24" s="100">
        <f t="shared" si="0"/>
        <v>-0.53137626996114273</v>
      </c>
    </row>
    <row r="25" spans="2:12" x14ac:dyDescent="0.25">
      <c r="B25" t="s">
        <v>139</v>
      </c>
      <c r="C25" s="94">
        <v>19.3</v>
      </c>
      <c r="D25" s="94">
        <v>18.2</v>
      </c>
      <c r="E25" s="94">
        <v>19.21</v>
      </c>
      <c r="F25" s="94">
        <v>16.399999999999999</v>
      </c>
      <c r="G25" s="94">
        <v>36.39</v>
      </c>
      <c r="H25" s="94">
        <v>38.94</v>
      </c>
      <c r="I25" s="94">
        <v>35.78</v>
      </c>
      <c r="J25" s="94">
        <v>0</v>
      </c>
      <c r="L25" s="100">
        <f t="shared" si="0"/>
        <v>-0.46059250978200111</v>
      </c>
    </row>
    <row r="26" spans="2:12" x14ac:dyDescent="0.25">
      <c r="B26" t="s">
        <v>140</v>
      </c>
      <c r="C26" s="94">
        <v>26.67</v>
      </c>
      <c r="D26" s="94">
        <v>25.34</v>
      </c>
      <c r="E26" s="94">
        <v>25.2</v>
      </c>
      <c r="F26" s="94">
        <v>27.56</v>
      </c>
      <c r="G26" s="94">
        <v>34.880000000000003</v>
      </c>
      <c r="H26" s="94">
        <v>37.18</v>
      </c>
      <c r="I26" s="94">
        <v>33.31</v>
      </c>
      <c r="J26" s="94">
        <v>34.53</v>
      </c>
      <c r="L26" s="100">
        <f t="shared" si="0"/>
        <v>-0.19933953767637347</v>
      </c>
    </row>
    <row r="30" spans="2:12" x14ac:dyDescent="0.25">
      <c r="C30" s="103"/>
      <c r="D30" s="103"/>
      <c r="E30" s="103"/>
      <c r="F30" s="103"/>
      <c r="G30" s="103"/>
      <c r="H30" s="103"/>
      <c r="I30" s="103"/>
      <c r="J30" s="103"/>
    </row>
    <row r="31" spans="2:12" x14ac:dyDescent="0.25">
      <c r="C31" s="104"/>
      <c r="D31" s="104"/>
      <c r="E31" s="104"/>
      <c r="F31" s="104"/>
      <c r="G31" s="104"/>
      <c r="H31" s="104"/>
      <c r="I31" s="104"/>
      <c r="J31" s="104"/>
      <c r="L31" s="100"/>
    </row>
    <row r="32" spans="2:12" x14ac:dyDescent="0.25">
      <c r="C32" s="94"/>
      <c r="D32" s="94"/>
      <c r="E32" s="94"/>
      <c r="F32" s="94"/>
      <c r="G32" s="94"/>
      <c r="H32" s="94"/>
      <c r="I32" s="94"/>
      <c r="J32" s="94"/>
      <c r="L32" s="100"/>
    </row>
    <row r="33" spans="3:12" ht="16.5" customHeight="1" x14ac:dyDescent="0.25">
      <c r="C33" s="94"/>
      <c r="D33" s="94"/>
      <c r="E33" s="94"/>
      <c r="F33" s="94"/>
      <c r="G33" s="94"/>
      <c r="H33" s="94"/>
      <c r="I33" s="94"/>
      <c r="J33" s="94"/>
      <c r="L33" s="100"/>
    </row>
    <row r="34" spans="3:12" x14ac:dyDescent="0.25">
      <c r="C34" s="94"/>
      <c r="D34" s="94"/>
      <c r="E34" s="94"/>
      <c r="F34" s="94"/>
      <c r="G34" s="94"/>
      <c r="H34" s="94"/>
      <c r="I34" s="94"/>
      <c r="J34" s="94"/>
      <c r="L34" s="100"/>
    </row>
    <row r="35" spans="3:12" x14ac:dyDescent="0.25">
      <c r="L35" s="100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98"/>
  <sheetViews>
    <sheetView workbookViewId="0">
      <selection activeCell="N34" sqref="N34"/>
    </sheetView>
  </sheetViews>
  <sheetFormatPr defaultRowHeight="15" x14ac:dyDescent="0.25"/>
  <cols>
    <col min="2" max="2" width="5" customWidth="1"/>
    <col min="3" max="3" width="4" customWidth="1"/>
    <col min="4" max="4" width="36.140625" customWidth="1"/>
    <col min="5" max="5" width="12.42578125" style="97" bestFit="1" customWidth="1"/>
    <col min="6" max="6" width="12.28515625" customWidth="1"/>
    <col min="7" max="7" width="12.5703125" customWidth="1"/>
    <col min="8" max="8" width="13.28515625" customWidth="1"/>
    <col min="9" max="9" width="12.5703125" customWidth="1"/>
  </cols>
  <sheetData>
    <row r="5" spans="2:8" ht="18.75" x14ac:dyDescent="0.3">
      <c r="B5" s="31" t="s">
        <v>75</v>
      </c>
      <c r="E5" s="96" t="s">
        <v>76</v>
      </c>
      <c r="F5" s="2" t="s">
        <v>77</v>
      </c>
      <c r="G5" s="2" t="s">
        <v>78</v>
      </c>
      <c r="H5" s="2" t="s">
        <v>79</v>
      </c>
    </row>
    <row r="6" spans="2:8" ht="15.75" x14ac:dyDescent="0.25">
      <c r="D6" s="84" t="s">
        <v>12</v>
      </c>
    </row>
    <row r="7" spans="2:8" x14ac:dyDescent="0.25">
      <c r="D7" s="85" t="s">
        <v>80</v>
      </c>
      <c r="E7" s="98">
        <v>21870795</v>
      </c>
      <c r="F7" s="86">
        <v>34717733</v>
      </c>
      <c r="G7" s="86">
        <v>41175982</v>
      </c>
      <c r="H7" s="86">
        <v>35826615</v>
      </c>
    </row>
    <row r="8" spans="2:8" x14ac:dyDescent="0.25">
      <c r="D8" t="s">
        <v>81</v>
      </c>
      <c r="E8" s="98">
        <f>8338864-E16-E24</f>
        <v>6943822</v>
      </c>
      <c r="F8" s="86">
        <f>13379128-F16-F24</f>
        <v>10987768</v>
      </c>
      <c r="G8" s="86">
        <f>18145737-G16-G24</f>
        <v>11671205</v>
      </c>
      <c r="H8" s="86">
        <f>14668168-H16-H24</f>
        <v>11895022</v>
      </c>
    </row>
    <row r="9" spans="2:8" x14ac:dyDescent="0.25">
      <c r="D9" t="s">
        <v>82</v>
      </c>
      <c r="E9" s="98">
        <f>6925831-E17-E25</f>
        <v>5976777</v>
      </c>
      <c r="F9" s="86">
        <f>10989616-F17-F25</f>
        <v>9722450</v>
      </c>
      <c r="G9" s="86">
        <f>11534274-G17-G25</f>
        <v>9541021</v>
      </c>
      <c r="H9" s="86">
        <f>10585225-H17-H25</f>
        <v>9634518</v>
      </c>
    </row>
    <row r="10" spans="2:8" x14ac:dyDescent="0.25">
      <c r="D10" t="s">
        <v>83</v>
      </c>
      <c r="E10" s="98">
        <f>6031449-E18-E26</f>
        <v>5479617</v>
      </c>
      <c r="F10" s="86">
        <f>9479873-F18-F26</f>
        <v>8680476</v>
      </c>
      <c r="G10" s="86">
        <f>10505025-G18-G26</f>
        <v>8679082</v>
      </c>
      <c r="H10" s="86">
        <f>9439717-H18-H26</f>
        <v>8848003</v>
      </c>
    </row>
    <row r="11" spans="2:8" x14ac:dyDescent="0.25">
      <c r="D11" t="s">
        <v>84</v>
      </c>
      <c r="E11" s="98">
        <f>574651-E19-E27</f>
        <v>574651</v>
      </c>
      <c r="F11" s="86">
        <f>869117-F19-F27</f>
        <v>869117</v>
      </c>
      <c r="G11" s="86">
        <f>990947-G19-G27</f>
        <v>990947</v>
      </c>
      <c r="H11" s="86">
        <f>1120468-H19-H27</f>
        <v>1120468</v>
      </c>
    </row>
    <row r="12" spans="2:8" x14ac:dyDescent="0.25">
      <c r="E12" s="98"/>
      <c r="F12" s="86"/>
      <c r="G12" s="86"/>
      <c r="H12" s="86"/>
    </row>
    <row r="13" spans="2:8" x14ac:dyDescent="0.25">
      <c r="D13" s="87" t="s">
        <v>85</v>
      </c>
      <c r="E13" s="99">
        <f>SUM(E8:E11)</f>
        <v>18974867</v>
      </c>
      <c r="F13" s="88">
        <f t="shared" ref="F13:H13" si="0">SUM(F8:F11)</f>
        <v>30259811</v>
      </c>
      <c r="G13" s="88">
        <f t="shared" si="0"/>
        <v>30882255</v>
      </c>
      <c r="H13" s="88">
        <f t="shared" si="0"/>
        <v>31498011</v>
      </c>
    </row>
    <row r="14" spans="2:8" x14ac:dyDescent="0.25">
      <c r="E14" s="98"/>
      <c r="F14" s="86"/>
      <c r="G14" s="86"/>
      <c r="H14" s="86"/>
    </row>
    <row r="15" spans="2:8" x14ac:dyDescent="0.25">
      <c r="D15" s="2" t="s">
        <v>86</v>
      </c>
      <c r="E15" s="98"/>
      <c r="F15" s="86"/>
      <c r="G15" s="86"/>
      <c r="H15" s="86"/>
    </row>
    <row r="16" spans="2:8" x14ac:dyDescent="0.25">
      <c r="D16" t="s">
        <v>87</v>
      </c>
      <c r="E16" s="98">
        <v>950541</v>
      </c>
      <c r="F16" s="86">
        <v>1924769</v>
      </c>
      <c r="G16" s="86">
        <v>6147187</v>
      </c>
      <c r="H16" s="86">
        <v>2417812</v>
      </c>
    </row>
    <row r="17" spans="4:8" x14ac:dyDescent="0.25">
      <c r="D17" t="s">
        <v>88</v>
      </c>
      <c r="E17" s="98">
        <v>640174</v>
      </c>
      <c r="F17" s="86">
        <v>1018587</v>
      </c>
      <c r="G17" s="86">
        <v>1930710</v>
      </c>
      <c r="H17" s="86">
        <v>950707</v>
      </c>
    </row>
    <row r="18" spans="4:8" x14ac:dyDescent="0.25">
      <c r="D18" t="s">
        <v>89</v>
      </c>
      <c r="E18" s="98">
        <v>264963</v>
      </c>
      <c r="F18" s="86">
        <v>346261</v>
      </c>
      <c r="G18" s="86">
        <v>1369387</v>
      </c>
      <c r="H18" s="86">
        <v>214575</v>
      </c>
    </row>
    <row r="19" spans="4:8" x14ac:dyDescent="0.25">
      <c r="D19" t="s">
        <v>90</v>
      </c>
      <c r="E19" s="98">
        <v>0</v>
      </c>
      <c r="F19" s="86">
        <v>0</v>
      </c>
      <c r="G19" s="86">
        <v>0</v>
      </c>
      <c r="H19" s="86">
        <v>0</v>
      </c>
    </row>
    <row r="20" spans="4:8" x14ac:dyDescent="0.25">
      <c r="E20" s="98"/>
      <c r="F20" s="86"/>
      <c r="G20" s="86"/>
      <c r="H20" s="86"/>
    </row>
    <row r="21" spans="4:8" x14ac:dyDescent="0.25">
      <c r="D21" s="87" t="s">
        <v>91</v>
      </c>
      <c r="E21" s="99">
        <f>SUM(E16:E19)</f>
        <v>1855678</v>
      </c>
      <c r="F21" s="88">
        <f t="shared" ref="F21:H21" si="1">SUM(F16:F19)</f>
        <v>3289617</v>
      </c>
      <c r="G21" s="88">
        <f t="shared" si="1"/>
        <v>9447284</v>
      </c>
      <c r="H21" s="88">
        <f t="shared" si="1"/>
        <v>3583094</v>
      </c>
    </row>
    <row r="22" spans="4:8" x14ac:dyDescent="0.25">
      <c r="E22" s="98"/>
      <c r="F22" s="86"/>
      <c r="G22" s="86"/>
      <c r="H22" s="86"/>
    </row>
    <row r="23" spans="4:8" x14ac:dyDescent="0.25">
      <c r="D23" s="2" t="s">
        <v>74</v>
      </c>
      <c r="E23" s="98"/>
      <c r="F23" s="86"/>
      <c r="G23" s="86"/>
      <c r="H23" s="86"/>
    </row>
    <row r="24" spans="4:8" x14ac:dyDescent="0.25">
      <c r="D24" t="s">
        <v>92</v>
      </c>
      <c r="E24" s="98">
        <v>444501</v>
      </c>
      <c r="F24" s="86">
        <v>466591</v>
      </c>
      <c r="G24" s="86">
        <v>327345</v>
      </c>
      <c r="H24" s="86">
        <v>355334</v>
      </c>
    </row>
    <row r="25" spans="4:8" x14ac:dyDescent="0.25">
      <c r="D25" t="s">
        <v>93</v>
      </c>
      <c r="E25" s="98">
        <v>308880</v>
      </c>
      <c r="F25" s="86">
        <v>248579</v>
      </c>
      <c r="G25" s="86">
        <v>62543</v>
      </c>
      <c r="H25" s="86">
        <v>0</v>
      </c>
    </row>
    <row r="26" spans="4:8" x14ac:dyDescent="0.25">
      <c r="D26" t="s">
        <v>94</v>
      </c>
      <c r="E26" s="98">
        <v>286869</v>
      </c>
      <c r="F26" s="86">
        <v>453136</v>
      </c>
      <c r="G26" s="86">
        <v>456556</v>
      </c>
      <c r="H26" s="86">
        <v>377139</v>
      </c>
    </row>
    <row r="27" spans="4:8" x14ac:dyDescent="0.25">
      <c r="D27" t="s">
        <v>95</v>
      </c>
      <c r="E27" s="98">
        <v>0</v>
      </c>
      <c r="F27" s="86">
        <v>0</v>
      </c>
      <c r="G27" s="86">
        <v>0</v>
      </c>
      <c r="H27" s="86">
        <v>0</v>
      </c>
    </row>
    <row r="28" spans="4:8" x14ac:dyDescent="0.25">
      <c r="E28" s="98"/>
      <c r="F28" s="86"/>
      <c r="G28" s="86"/>
      <c r="H28" s="86"/>
    </row>
    <row r="29" spans="4:8" x14ac:dyDescent="0.25">
      <c r="D29" s="87" t="s">
        <v>96</v>
      </c>
      <c r="E29" s="99">
        <f>SUM(E24:E27)</f>
        <v>1040250</v>
      </c>
      <c r="F29" s="88">
        <f>SUM(F24:F27)</f>
        <v>1168306</v>
      </c>
      <c r="G29" s="88">
        <f>SUM(G24:G27)</f>
        <v>846444</v>
      </c>
      <c r="H29" s="88">
        <f>SUM(H24:H27)</f>
        <v>732473</v>
      </c>
    </row>
    <row r="30" spans="4:8" x14ac:dyDescent="0.25">
      <c r="D30" s="87"/>
      <c r="E30" s="99"/>
      <c r="F30" s="88"/>
      <c r="G30" s="88"/>
      <c r="H30" s="88"/>
    </row>
    <row r="31" spans="4:8" x14ac:dyDescent="0.25">
      <c r="D31" s="87" t="s">
        <v>97</v>
      </c>
      <c r="E31" s="99">
        <f>E13+E21+E29</f>
        <v>21870795</v>
      </c>
      <c r="F31" s="88">
        <f t="shared" ref="F31:H31" si="2">F13+F21+F29</f>
        <v>34717734</v>
      </c>
      <c r="G31" s="88">
        <f t="shared" si="2"/>
        <v>41175983</v>
      </c>
      <c r="H31" s="88">
        <f t="shared" si="2"/>
        <v>35813578</v>
      </c>
    </row>
    <row r="32" spans="4:8" x14ac:dyDescent="0.25">
      <c r="E32" s="98"/>
      <c r="F32" s="86"/>
      <c r="G32" s="86"/>
      <c r="H32" s="86"/>
    </row>
    <row r="33" spans="3:8" x14ac:dyDescent="0.25">
      <c r="E33" s="98"/>
      <c r="F33" s="86"/>
      <c r="G33" s="86"/>
      <c r="H33" s="86"/>
    </row>
    <row r="34" spans="3:8" ht="15.75" x14ac:dyDescent="0.25">
      <c r="C34" s="84" t="s">
        <v>98</v>
      </c>
      <c r="E34" s="98"/>
      <c r="F34" s="86"/>
      <c r="G34" s="86"/>
      <c r="H34" s="86"/>
    </row>
    <row r="35" spans="3:8" x14ac:dyDescent="0.25">
      <c r="D35" t="s">
        <v>99</v>
      </c>
      <c r="E35" s="98">
        <v>99193</v>
      </c>
      <c r="F35" s="86">
        <v>154760</v>
      </c>
      <c r="G35" s="86">
        <v>155889</v>
      </c>
      <c r="H35" s="86">
        <v>177184</v>
      </c>
    </row>
    <row r="36" spans="3:8" x14ac:dyDescent="0.25">
      <c r="D36" t="s">
        <v>100</v>
      </c>
      <c r="E36" s="98">
        <v>172794</v>
      </c>
      <c r="F36" s="86">
        <v>318628</v>
      </c>
      <c r="G36" s="86">
        <v>257568</v>
      </c>
      <c r="H36" s="86">
        <v>374233</v>
      </c>
    </row>
    <row r="37" spans="3:8" x14ac:dyDescent="0.25">
      <c r="D37" t="s">
        <v>101</v>
      </c>
      <c r="E37" s="98">
        <v>200974</v>
      </c>
      <c r="F37" s="86">
        <v>292215</v>
      </c>
      <c r="G37" s="86">
        <v>295283</v>
      </c>
      <c r="H37" s="86">
        <v>502048</v>
      </c>
    </row>
    <row r="38" spans="3:8" x14ac:dyDescent="0.25">
      <c r="D38" t="s">
        <v>102</v>
      </c>
      <c r="E38" s="98">
        <v>4520</v>
      </c>
      <c r="F38" s="86">
        <v>11054</v>
      </c>
      <c r="G38" s="86">
        <v>8559</v>
      </c>
      <c r="H38" s="86">
        <v>28873</v>
      </c>
    </row>
    <row r="39" spans="3:8" x14ac:dyDescent="0.25">
      <c r="E39" s="98"/>
      <c r="F39" s="86"/>
      <c r="G39" s="86"/>
      <c r="H39" s="86"/>
    </row>
    <row r="40" spans="3:8" x14ac:dyDescent="0.25">
      <c r="D40" s="87" t="s">
        <v>103</v>
      </c>
      <c r="E40" s="99">
        <f>SUM(E35:E38)</f>
        <v>477481</v>
      </c>
      <c r="F40" s="88">
        <f t="shared" ref="F40:H40" si="3">SUM(F35:F38)</f>
        <v>776657</v>
      </c>
      <c r="G40" s="88">
        <f t="shared" si="3"/>
        <v>717299</v>
      </c>
      <c r="H40" s="88">
        <f t="shared" si="3"/>
        <v>1082338</v>
      </c>
    </row>
    <row r="41" spans="3:8" x14ac:dyDescent="0.25">
      <c r="E41" s="98"/>
      <c r="F41" s="86"/>
      <c r="G41" s="86"/>
      <c r="H41" s="86"/>
    </row>
    <row r="42" spans="3:8" x14ac:dyDescent="0.25">
      <c r="E42" s="98"/>
      <c r="F42" s="86"/>
      <c r="G42" s="86"/>
      <c r="H42" s="86"/>
    </row>
    <row r="43" spans="3:8" ht="15.75" x14ac:dyDescent="0.25">
      <c r="C43" s="84" t="s">
        <v>104</v>
      </c>
      <c r="E43" s="98"/>
      <c r="F43" s="86"/>
      <c r="G43" s="86"/>
      <c r="H43" s="86"/>
    </row>
    <row r="44" spans="3:8" x14ac:dyDescent="0.25">
      <c r="D44" t="s">
        <v>105</v>
      </c>
      <c r="E44" s="98">
        <v>9952428</v>
      </c>
      <c r="F44" s="86">
        <v>14193599</v>
      </c>
      <c r="G44" s="86">
        <v>8573904</v>
      </c>
      <c r="H44" s="86">
        <v>11076041</v>
      </c>
    </row>
    <row r="45" spans="3:8" x14ac:dyDescent="0.25">
      <c r="D45" t="s">
        <v>106</v>
      </c>
      <c r="E45" s="98">
        <v>3675947</v>
      </c>
      <c r="F45" s="86">
        <v>6972753</v>
      </c>
      <c r="G45" s="86">
        <v>5408851</v>
      </c>
      <c r="H45" s="86">
        <v>4293892</v>
      </c>
    </row>
    <row r="46" spans="3:8" x14ac:dyDescent="0.25">
      <c r="D46" t="s">
        <v>107</v>
      </c>
      <c r="E46" s="98">
        <v>5465527</v>
      </c>
      <c r="F46" s="86">
        <v>7963387</v>
      </c>
      <c r="G46" s="86">
        <v>6357248</v>
      </c>
      <c r="H46" s="86">
        <v>6552056</v>
      </c>
    </row>
    <row r="47" spans="3:8" x14ac:dyDescent="0.25">
      <c r="D47" t="s">
        <v>108</v>
      </c>
      <c r="E47" s="98">
        <v>1875150</v>
      </c>
      <c r="F47" s="86">
        <v>2395600</v>
      </c>
      <c r="G47" s="86">
        <v>3145350</v>
      </c>
      <c r="H47" s="86">
        <v>2867150</v>
      </c>
    </row>
    <row r="48" spans="3:8" x14ac:dyDescent="0.25">
      <c r="D48" t="s">
        <v>109</v>
      </c>
      <c r="E48" s="98">
        <v>2498944</v>
      </c>
      <c r="F48" s="86">
        <v>3035206</v>
      </c>
      <c r="G48" s="86">
        <v>1115730</v>
      </c>
      <c r="H48" s="86">
        <v>2200793</v>
      </c>
    </row>
    <row r="49" spans="2:8" x14ac:dyDescent="0.25">
      <c r="D49" t="s">
        <v>110</v>
      </c>
      <c r="E49" s="98">
        <v>2474839</v>
      </c>
      <c r="F49" s="86">
        <v>2688102</v>
      </c>
      <c r="G49" s="86">
        <v>1584827</v>
      </c>
      <c r="H49" s="86">
        <v>1288528</v>
      </c>
    </row>
    <row r="50" spans="2:8" x14ac:dyDescent="0.25">
      <c r="E50" s="98"/>
      <c r="F50" s="86"/>
      <c r="G50" s="86"/>
      <c r="H50" s="86"/>
    </row>
    <row r="51" spans="2:8" x14ac:dyDescent="0.25">
      <c r="D51" s="87" t="s">
        <v>111</v>
      </c>
      <c r="E51" s="99">
        <f>SUM(E44:E48)</f>
        <v>23467996</v>
      </c>
      <c r="F51" s="88">
        <f t="shared" ref="F51:H51" si="4">SUM(F44:F48)</f>
        <v>34560545</v>
      </c>
      <c r="G51" s="88">
        <f t="shared" si="4"/>
        <v>24601083</v>
      </c>
      <c r="H51" s="88">
        <f t="shared" si="4"/>
        <v>26989932</v>
      </c>
    </row>
    <row r="52" spans="2:8" x14ac:dyDescent="0.25">
      <c r="E52" s="98"/>
      <c r="F52" s="86"/>
      <c r="G52" s="86"/>
      <c r="H52" s="86"/>
    </row>
    <row r="53" spans="2:8" x14ac:dyDescent="0.25">
      <c r="E53" s="98"/>
      <c r="F53" s="86"/>
      <c r="G53" s="86"/>
      <c r="H53" s="86"/>
    </row>
    <row r="54" spans="2:8" ht="15.75" x14ac:dyDescent="0.25">
      <c r="C54" s="84" t="s">
        <v>50</v>
      </c>
      <c r="E54" s="98"/>
      <c r="F54" s="86"/>
      <c r="G54" s="86"/>
      <c r="H54" s="86"/>
    </row>
    <row r="55" spans="2:8" x14ac:dyDescent="0.25">
      <c r="D55" t="s">
        <v>112</v>
      </c>
      <c r="E55" s="98">
        <v>807276</v>
      </c>
      <c r="F55" s="86">
        <v>1083638</v>
      </c>
      <c r="G55" s="86">
        <v>987706</v>
      </c>
      <c r="H55" s="86">
        <v>943630</v>
      </c>
    </row>
    <row r="56" spans="2:8" x14ac:dyDescent="0.25">
      <c r="D56" t="s">
        <v>113</v>
      </c>
      <c r="E56" s="98">
        <v>739061</v>
      </c>
      <c r="F56" s="86">
        <v>1080211</v>
      </c>
      <c r="G56" s="86">
        <v>921351</v>
      </c>
      <c r="H56" s="86">
        <v>669901</v>
      </c>
    </row>
    <row r="57" spans="2:8" x14ac:dyDescent="0.25">
      <c r="D57" t="s">
        <v>114</v>
      </c>
      <c r="E57" s="98">
        <v>783895</v>
      </c>
      <c r="F57" s="86">
        <v>1127835</v>
      </c>
      <c r="G57" s="86">
        <v>569193</v>
      </c>
      <c r="H57" s="86">
        <v>607036</v>
      </c>
    </row>
    <row r="58" spans="2:8" x14ac:dyDescent="0.25">
      <c r="D58" t="s">
        <v>115</v>
      </c>
      <c r="E58" s="98">
        <v>0</v>
      </c>
      <c r="F58" s="86">
        <v>0</v>
      </c>
      <c r="G58" s="86">
        <v>0</v>
      </c>
      <c r="H58" s="86">
        <v>0</v>
      </c>
    </row>
    <row r="59" spans="2:8" x14ac:dyDescent="0.25">
      <c r="E59" s="98"/>
      <c r="F59" s="86"/>
      <c r="G59" s="86"/>
      <c r="H59" s="86"/>
    </row>
    <row r="60" spans="2:8" x14ac:dyDescent="0.25">
      <c r="D60" s="87" t="s">
        <v>116</v>
      </c>
      <c r="E60" s="99">
        <f>SUM(E55:E59)</f>
        <v>2330232</v>
      </c>
      <c r="F60" s="88">
        <f t="shared" ref="F60:H60" si="5">SUM(F55:F59)</f>
        <v>3291684</v>
      </c>
      <c r="G60" s="88">
        <f t="shared" si="5"/>
        <v>2478250</v>
      </c>
      <c r="H60" s="88">
        <f t="shared" si="5"/>
        <v>2220567</v>
      </c>
    </row>
    <row r="61" spans="2:8" x14ac:dyDescent="0.25">
      <c r="E61" s="98"/>
      <c r="F61" s="86"/>
      <c r="G61" s="86"/>
      <c r="H61" s="86"/>
    </row>
    <row r="62" spans="2:8" x14ac:dyDescent="0.25">
      <c r="E62" s="98"/>
      <c r="F62" s="86"/>
      <c r="G62" s="86"/>
      <c r="H62" s="86"/>
    </row>
    <row r="63" spans="2:8" ht="18.75" x14ac:dyDescent="0.3">
      <c r="B63" s="31" t="s">
        <v>117</v>
      </c>
      <c r="E63" s="96" t="s">
        <v>76</v>
      </c>
      <c r="F63" s="2" t="s">
        <v>77</v>
      </c>
      <c r="G63" s="2" t="s">
        <v>78</v>
      </c>
      <c r="H63" s="2" t="s">
        <v>79</v>
      </c>
    </row>
    <row r="64" spans="2:8" x14ac:dyDescent="0.25">
      <c r="B64" s="87"/>
    </row>
    <row r="65" spans="3:8" ht="15.75" x14ac:dyDescent="0.25">
      <c r="C65" s="84" t="s">
        <v>118</v>
      </c>
      <c r="E65" s="98"/>
      <c r="F65" s="86"/>
      <c r="G65" s="86"/>
      <c r="H65" s="86"/>
    </row>
    <row r="66" spans="3:8" x14ac:dyDescent="0.25">
      <c r="D66" t="s">
        <v>99</v>
      </c>
      <c r="E66" s="98">
        <v>1400000</v>
      </c>
      <c r="F66" s="86">
        <v>360000</v>
      </c>
      <c r="G66" s="86">
        <v>360000</v>
      </c>
      <c r="H66" s="86">
        <v>180000</v>
      </c>
    </row>
    <row r="67" spans="3:8" x14ac:dyDescent="0.25">
      <c r="D67" t="s">
        <v>113</v>
      </c>
      <c r="E67" s="98">
        <v>450000</v>
      </c>
      <c r="F67" s="86">
        <v>173374</v>
      </c>
      <c r="G67" s="86">
        <v>75000</v>
      </c>
      <c r="H67" s="86">
        <v>0</v>
      </c>
    </row>
    <row r="68" spans="3:8" x14ac:dyDescent="0.25">
      <c r="D68" t="s">
        <v>101</v>
      </c>
      <c r="E68" s="98">
        <v>450000</v>
      </c>
      <c r="F68" s="86">
        <v>530000</v>
      </c>
      <c r="G68" s="86">
        <v>330000</v>
      </c>
      <c r="H68" s="86">
        <v>330000</v>
      </c>
    </row>
    <row r="69" spans="3:8" x14ac:dyDescent="0.25">
      <c r="E69" s="98"/>
      <c r="F69" s="86"/>
      <c r="G69" s="86"/>
      <c r="H69" s="86"/>
    </row>
    <row r="70" spans="3:8" x14ac:dyDescent="0.25">
      <c r="D70" s="87" t="s">
        <v>119</v>
      </c>
      <c r="E70" s="99">
        <f>SUM(E66:E69)</f>
        <v>2300000</v>
      </c>
      <c r="F70" s="88">
        <f t="shared" ref="F70:H70" si="6">SUM(F66:F69)</f>
        <v>1063374</v>
      </c>
      <c r="G70" s="88">
        <f t="shared" si="6"/>
        <v>765000</v>
      </c>
      <c r="H70" s="88">
        <f t="shared" si="6"/>
        <v>510000</v>
      </c>
    </row>
    <row r="71" spans="3:8" x14ac:dyDescent="0.25">
      <c r="E71" s="98"/>
      <c r="F71" s="86"/>
      <c r="G71" s="86"/>
      <c r="H71" s="86"/>
    </row>
    <row r="72" spans="3:8" ht="15.75" x14ac:dyDescent="0.25">
      <c r="C72" s="84" t="s">
        <v>120</v>
      </c>
      <c r="E72" s="98"/>
      <c r="F72" s="86"/>
      <c r="G72" s="86"/>
      <c r="H72" s="86"/>
    </row>
    <row r="73" spans="3:8" x14ac:dyDescent="0.25">
      <c r="D73" t="s">
        <v>99</v>
      </c>
      <c r="E73" s="98">
        <v>638000</v>
      </c>
      <c r="F73" s="86">
        <v>638000</v>
      </c>
      <c r="G73" s="86">
        <v>638000</v>
      </c>
      <c r="H73" s="86">
        <v>638000</v>
      </c>
    </row>
    <row r="74" spans="3:8" x14ac:dyDescent="0.25">
      <c r="D74" t="s">
        <v>100</v>
      </c>
      <c r="E74" s="98">
        <v>325000</v>
      </c>
      <c r="F74" s="86">
        <v>325000</v>
      </c>
      <c r="G74" s="86">
        <v>325000</v>
      </c>
      <c r="H74" s="86">
        <v>325000</v>
      </c>
    </row>
    <row r="75" spans="3:8" x14ac:dyDescent="0.25">
      <c r="D75" t="s">
        <v>101</v>
      </c>
      <c r="E75" s="98">
        <v>385000</v>
      </c>
      <c r="F75" s="86">
        <v>385000</v>
      </c>
      <c r="G75" s="86">
        <v>385000</v>
      </c>
      <c r="H75" s="86">
        <v>385000</v>
      </c>
    </row>
    <row r="76" spans="3:8" x14ac:dyDescent="0.25">
      <c r="D76" t="s">
        <v>102</v>
      </c>
      <c r="E76" s="98">
        <v>7018</v>
      </c>
      <c r="F76" s="86">
        <v>7018</v>
      </c>
      <c r="G76" s="86">
        <v>7018</v>
      </c>
      <c r="H76" s="86">
        <v>7018</v>
      </c>
    </row>
    <row r="77" spans="3:8" x14ac:dyDescent="0.25">
      <c r="D77" t="s">
        <v>121</v>
      </c>
      <c r="E77" s="98">
        <v>1120785</v>
      </c>
      <c r="F77" s="86">
        <v>900000</v>
      </c>
      <c r="G77" s="86">
        <v>650000</v>
      </c>
      <c r="H77" s="86">
        <v>650000</v>
      </c>
    </row>
    <row r="78" spans="3:8" x14ac:dyDescent="0.25">
      <c r="E78" s="98"/>
      <c r="F78" s="86"/>
      <c r="G78" s="86"/>
      <c r="H78" s="86"/>
    </row>
    <row r="79" spans="3:8" x14ac:dyDescent="0.25">
      <c r="D79" s="87" t="s">
        <v>122</v>
      </c>
      <c r="E79" s="99">
        <f>SUM(E73:E78)</f>
        <v>2475803</v>
      </c>
      <c r="F79" s="88">
        <f t="shared" ref="F79:H79" si="7">SUM(F73:F78)</f>
        <v>2255018</v>
      </c>
      <c r="G79" s="88">
        <f t="shared" si="7"/>
        <v>2005018</v>
      </c>
      <c r="H79" s="88">
        <f t="shared" si="7"/>
        <v>2005018</v>
      </c>
    </row>
    <row r="80" spans="3:8" x14ac:dyDescent="0.25">
      <c r="E80" s="98"/>
      <c r="F80" s="86"/>
      <c r="G80" s="86"/>
      <c r="H80" s="86"/>
    </row>
    <row r="81" spans="3:9" x14ac:dyDescent="0.25">
      <c r="E81" s="98"/>
      <c r="F81" s="86"/>
      <c r="G81" s="86"/>
      <c r="H81" s="86"/>
    </row>
    <row r="82" spans="3:9" ht="15.75" x14ac:dyDescent="0.25">
      <c r="C82" s="84" t="s">
        <v>123</v>
      </c>
      <c r="E82" s="98"/>
      <c r="F82" s="86"/>
      <c r="G82" s="86"/>
      <c r="H82" s="86"/>
    </row>
    <row r="83" spans="3:9" x14ac:dyDescent="0.25">
      <c r="D83" t="s">
        <v>99</v>
      </c>
      <c r="E83" s="98">
        <v>7440606</v>
      </c>
      <c r="F83" s="86">
        <v>5440606</v>
      </c>
      <c r="G83" s="86">
        <v>5440606</v>
      </c>
      <c r="H83" s="86">
        <v>5440606</v>
      </c>
    </row>
    <row r="84" spans="3:9" x14ac:dyDescent="0.25">
      <c r="D84" t="s">
        <v>100</v>
      </c>
      <c r="E84" s="98">
        <v>3250000</v>
      </c>
      <c r="F84" s="86">
        <v>3250000</v>
      </c>
      <c r="G84" s="86">
        <f>2350000+500000</f>
        <v>2850000</v>
      </c>
      <c r="H84" s="86">
        <v>3100000</v>
      </c>
    </row>
    <row r="85" spans="3:9" x14ac:dyDescent="0.25">
      <c r="D85" t="s">
        <v>101</v>
      </c>
      <c r="E85" s="98">
        <v>1500000</v>
      </c>
      <c r="F85" s="86">
        <v>1250000</v>
      </c>
      <c r="G85" s="86">
        <v>1107000</v>
      </c>
      <c r="H85" s="86">
        <v>1050000</v>
      </c>
    </row>
    <row r="86" spans="3:9" x14ac:dyDescent="0.25">
      <c r="D86" t="s">
        <v>121</v>
      </c>
      <c r="E86" s="98">
        <v>0</v>
      </c>
      <c r="F86" s="86">
        <v>0</v>
      </c>
      <c r="G86" s="86">
        <v>0</v>
      </c>
      <c r="H86" s="86">
        <v>0</v>
      </c>
    </row>
    <row r="87" spans="3:9" x14ac:dyDescent="0.25">
      <c r="E87" s="98"/>
      <c r="F87" s="86"/>
      <c r="G87" s="86"/>
      <c r="H87" s="86"/>
    </row>
    <row r="88" spans="3:9" x14ac:dyDescent="0.25">
      <c r="D88" s="87" t="s">
        <v>124</v>
      </c>
      <c r="E88" s="99">
        <f>SUM(E83:E87)</f>
        <v>12190606</v>
      </c>
      <c r="F88" s="88">
        <f t="shared" ref="F88:H88" si="8">SUM(F83:F87)</f>
        <v>9940606</v>
      </c>
      <c r="G88" s="88">
        <f t="shared" si="8"/>
        <v>9397606</v>
      </c>
      <c r="H88" s="88">
        <f t="shared" si="8"/>
        <v>9590606</v>
      </c>
    </row>
    <row r="89" spans="3:9" x14ac:dyDescent="0.25">
      <c r="E89" s="98"/>
      <c r="F89" s="86"/>
      <c r="G89" s="86"/>
      <c r="H89" s="86"/>
    </row>
    <row r="90" spans="3:9" x14ac:dyDescent="0.25">
      <c r="E90" s="98"/>
      <c r="F90" s="86"/>
      <c r="G90" s="86"/>
      <c r="H90" s="86"/>
    </row>
    <row r="91" spans="3:9" ht="15.75" x14ac:dyDescent="0.25">
      <c r="C91" s="84" t="s">
        <v>125</v>
      </c>
      <c r="E91" s="98"/>
      <c r="F91" s="86"/>
      <c r="G91" s="86"/>
      <c r="H91" s="86"/>
    </row>
    <row r="92" spans="3:9" x14ac:dyDescent="0.25">
      <c r="D92" t="s">
        <v>99</v>
      </c>
      <c r="E92" s="98">
        <v>614000</v>
      </c>
      <c r="F92" s="86">
        <v>614000</v>
      </c>
      <c r="G92" s="86">
        <v>614000</v>
      </c>
      <c r="H92" s="86">
        <v>614000</v>
      </c>
      <c r="I92" s="86"/>
    </row>
    <row r="93" spans="3:9" x14ac:dyDescent="0.25">
      <c r="D93" t="s">
        <v>100</v>
      </c>
      <c r="E93" s="98">
        <v>425000</v>
      </c>
      <c r="F93" s="86">
        <v>425000</v>
      </c>
      <c r="G93" s="86">
        <v>425000</v>
      </c>
      <c r="H93" s="86">
        <v>425000</v>
      </c>
      <c r="I93" s="86"/>
    </row>
    <row r="94" spans="3:9" x14ac:dyDescent="0.25">
      <c r="D94" t="s">
        <v>101</v>
      </c>
      <c r="E94" s="98">
        <v>550000</v>
      </c>
      <c r="F94" s="86">
        <v>550000</v>
      </c>
      <c r="G94" s="86">
        <v>500000</v>
      </c>
      <c r="H94" s="86">
        <v>500000</v>
      </c>
      <c r="I94" s="86"/>
    </row>
    <row r="95" spans="3:9" x14ac:dyDescent="0.25">
      <c r="D95" t="s">
        <v>102</v>
      </c>
      <c r="E95" s="98">
        <v>0</v>
      </c>
      <c r="F95" s="86">
        <v>0</v>
      </c>
      <c r="G95" s="86">
        <v>0</v>
      </c>
      <c r="H95" s="86">
        <v>0</v>
      </c>
      <c r="I95" s="86"/>
    </row>
    <row r="96" spans="3:9" x14ac:dyDescent="0.25">
      <c r="D96" t="s">
        <v>121</v>
      </c>
      <c r="E96" s="98">
        <v>0</v>
      </c>
      <c r="F96" s="86">
        <v>0</v>
      </c>
      <c r="G96" s="86">
        <v>0</v>
      </c>
      <c r="H96" s="86">
        <v>0</v>
      </c>
    </row>
    <row r="97" spans="4:8" x14ac:dyDescent="0.25">
      <c r="E97" s="98"/>
      <c r="F97" s="86"/>
      <c r="G97" s="86"/>
      <c r="H97" s="86"/>
    </row>
    <row r="98" spans="4:8" x14ac:dyDescent="0.25">
      <c r="D98" s="87" t="s">
        <v>126</v>
      </c>
      <c r="E98" s="99">
        <f>SUM(E92:E97)</f>
        <v>1589000</v>
      </c>
      <c r="F98" s="88">
        <f t="shared" ref="F98:H98" si="9">SUM(F92:F97)</f>
        <v>1589000</v>
      </c>
      <c r="G98" s="88">
        <f t="shared" si="9"/>
        <v>1539000</v>
      </c>
      <c r="H98" s="88">
        <f t="shared" si="9"/>
        <v>1539000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FY2010</vt:lpstr>
      <vt:lpstr>FY2013</vt:lpstr>
      <vt:lpstr>Allocation trends</vt:lpstr>
      <vt:lpstr>Revenue Trend data</vt:lpstr>
      <vt:lpstr>Sheet4</vt:lpstr>
      <vt:lpstr>Sheet5</vt:lpstr>
      <vt:lpstr>SF ratio FTES FTEF trends</vt:lpstr>
      <vt:lpstr>Tuition and cost rec detail</vt:lpstr>
      <vt:lpstr>'FY2010'!Print_Area</vt:lpstr>
      <vt:lpstr>'FY2013'!Print_Area</vt:lpstr>
    </vt:vector>
  </TitlesOfParts>
  <Company>Seattle Community Colleges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mipham</dc:creator>
  <cp:lastModifiedBy>siegal</cp:lastModifiedBy>
  <cp:lastPrinted>2017-06-06T15:10:14Z</cp:lastPrinted>
  <dcterms:created xsi:type="dcterms:W3CDTF">2008-10-22T18:27:39Z</dcterms:created>
  <dcterms:modified xsi:type="dcterms:W3CDTF">2017-06-06T15:11:34Z</dcterms:modified>
</cp:coreProperties>
</file>